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20" windowWidth="19200" windowHeight="7425" firstSheet="1" activeTab="1"/>
  </bookViews>
  <sheets>
    <sheet name="2018-2020 (уточ_сентябрь)" sheetId="1" state="hidden" r:id="rId1"/>
    <sheet name="2018-2020 (декабрь)" sheetId="2" r:id="rId2"/>
  </sheets>
  <definedNames>
    <definedName name="_xlnm._FilterDatabase" localSheetId="1" hidden="1">'2018-2020 (декабрь)'!$A$4:$Q$248</definedName>
    <definedName name="_xlnm._FilterDatabase" localSheetId="0" hidden="1">'2018-2020 (уточ_сентябрь)'!$A$160:$V$307</definedName>
    <definedName name="_xlnm.Print_Titles" localSheetId="1">'2018-2020 (декабрь)'!$3:$4</definedName>
    <definedName name="_xlnm.Print_Titles" localSheetId="0">'2018-2020 (уточ_сентябрь)'!$3:$4</definedName>
    <definedName name="_xlnm.Print_Area" localSheetId="1">'2018-2020 (декабрь)'!$A$1:$H$257</definedName>
    <definedName name="_xlnm.Print_Area" localSheetId="0">'2018-2020 (уточ_сентябрь)'!$A$1:$M$307</definedName>
  </definedNames>
  <calcPr fullCalcOnLoad="1"/>
</workbook>
</file>

<file path=xl/comments1.xml><?xml version="1.0" encoding="utf-8"?>
<comments xmlns="http://schemas.openxmlformats.org/spreadsheetml/2006/main">
  <authors>
    <author>Соловьёва</author>
    <author>Варульникова С.</author>
  </authors>
  <commentList>
    <comment ref="A165" authorId="0">
      <text>
        <r>
          <rPr>
            <b/>
            <sz val="9"/>
            <rFont val="Tahoma"/>
            <family val="2"/>
          </rPr>
          <t>Соловьёва:</t>
        </r>
        <r>
          <rPr>
            <sz val="9"/>
            <rFont val="Tahoma"/>
            <family val="2"/>
          </rPr>
          <t xml:space="preserve">
Администраторы: 816 и 821 (средства из Минтруда распределяются  на 816, 821, 825; средства из Минобра на 816) </t>
        </r>
      </text>
    </comment>
    <comment ref="A195" authorId="1">
      <text>
        <r>
          <rPr>
            <b/>
            <sz val="9"/>
            <rFont val="Tahoma"/>
            <family val="2"/>
          </rPr>
          <t>Варульникова С.:</t>
        </r>
        <r>
          <rPr>
            <sz val="9"/>
            <rFont val="Tahoma"/>
            <family val="2"/>
          </rPr>
          <t xml:space="preserve">
в расходах 816,819</t>
        </r>
      </text>
    </comment>
    <comment ref="A222" authorId="1">
      <text>
        <r>
          <rPr>
            <b/>
            <sz val="9"/>
            <rFont val="Tahoma"/>
            <family val="2"/>
          </rPr>
          <t>Варульникова С.:</t>
        </r>
        <r>
          <rPr>
            <sz val="9"/>
            <rFont val="Tahoma"/>
            <family val="2"/>
          </rPr>
          <t xml:space="preserve">
в расходах 819, 821</t>
        </r>
      </text>
    </comment>
    <comment ref="A208" authorId="0">
      <text>
        <r>
          <rPr>
            <b/>
            <sz val="9"/>
            <rFont val="Tahoma"/>
            <family val="2"/>
          </rPr>
          <t>Соловьёва:</t>
        </r>
        <r>
          <rPr>
            <sz val="9"/>
            <rFont val="Tahoma"/>
            <family val="2"/>
          </rPr>
          <t xml:space="preserve">
ГАД (заключает соглашение 817;
в расходах 817 и 819</t>
        </r>
      </text>
    </comment>
  </commentList>
</comments>
</file>

<file path=xl/sharedStrings.xml><?xml version="1.0" encoding="utf-8"?>
<sst xmlns="http://schemas.openxmlformats.org/spreadsheetml/2006/main" count="1167" uniqueCount="692">
  <si>
    <t>рублей</t>
  </si>
  <si>
    <t>Код бюджетной классификации Российской Федерации</t>
  </si>
  <si>
    <t>Наименование доходов</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</si>
  <si>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</si>
  <si>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</si>
  <si>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</si>
  <si>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</si>
  <si>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</si>
  <si>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</si>
  <si>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</si>
  <si>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</si>
  <si>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</si>
  <si>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</si>
  <si>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</si>
  <si>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</si>
  <si>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</si>
  <si>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</si>
  <si>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</si>
  <si>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</si>
  <si>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</si>
  <si>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</si>
  <si>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</si>
  <si>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</si>
  <si>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</si>
  <si>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</si>
  <si>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</si>
  <si>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</si>
  <si>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</si>
  <si>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</si>
  <si>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1 03 02120 01 0000 110</t>
  </si>
  <si>
    <t>Акцизы на сидр, пуаре, медовуху, производимые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</si>
  <si>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</si>
  <si>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</si>
  <si>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</si>
  <si>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</si>
  <si>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</si>
  <si>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</si>
  <si>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</si>
  <si>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</si>
  <si>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</si>
  <si>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</si>
  <si>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</si>
  <si>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</si>
  <si>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</si>
  <si>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</si>
  <si>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</si>
  <si>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</si>
  <si>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</si>
  <si>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</si>
  <si>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</si>
  <si>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</si>
  <si>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</si>
  <si>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</si>
  <si>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1 05 03020 01 0000 110</t>
  </si>
  <si>
    <t>Единый сельскохозяйственный налог (за налоговые периоды, истекшие до 1 января 2011 года)</t>
  </si>
  <si>
    <t>1 06 00000 00 0000 000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</si>
  <si>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</si>
  <si>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</si>
  <si>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</si>
  <si>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</si>
  <si>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</si>
  <si>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</si>
  <si>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</si>
  <si>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</si>
  <si>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</si>
  <si>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</si>
  <si>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</si>
  <si>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</si>
  <si>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</si>
  <si>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</si>
  <si>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</si>
  <si>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</si>
  <si>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</si>
  <si>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</si>
  <si>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</si>
  <si>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</si>
  <si>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</si>
  <si>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</si>
  <si>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</si>
  <si>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</si>
  <si>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</si>
  <si>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</si>
  <si>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</si>
  <si>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1 08 00000 00 0000 000</t>
  </si>
  <si>
    <t>ГОСУДАРСТВЕННАЯ ПОШЛИНА</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</si>
  <si>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</si>
  <si>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</si>
  <si>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</si>
  <si>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</si>
  <si>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</si>
  <si>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</si>
  <si>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</si>
  <si>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</si>
  <si>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</si>
  <si>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</si>
  <si>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</si>
  <si>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</si>
  <si>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</si>
  <si>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</si>
  <si>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</si>
  <si>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</si>
  <si>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</si>
  <si>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</si>
  <si>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</si>
  <si>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</si>
  <si>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</si>
  <si>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</si>
  <si>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</si>
  <si>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</si>
  <si>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</si>
  <si>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</si>
  <si>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</si>
  <si>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1 08 07260 01 0000 110</t>
  </si>
  <si>
    <t xml:space="preserve">Государственная пошлина за выдачу разрешения на выброс вредных (загрязняющих) веществ в атмосферный воздух </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</si>
  <si>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</si>
  <si>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</si>
  <si>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</si>
  <si>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</si>
  <si>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</si>
  <si>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</si>
  <si>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</si>
  <si>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</si>
  <si>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</si>
  <si>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</si>
  <si>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</si>
  <si>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</si>
  <si>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</si>
  <si>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</si>
  <si>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</si>
  <si>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</si>
  <si>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</si>
  <si>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</si>
  <si>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</si>
  <si>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</si>
  <si>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1 11 03000 00 0000 120</t>
  </si>
  <si>
    <t>Проценты, полученные от предоставления бюджетных кредитов внутри страны</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</si>
  <si>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</si>
  <si>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</si>
  <si>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</si>
  <si>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</si>
  <si>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</si>
  <si>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</si>
  <si>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</si>
  <si>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</si>
  <si>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</si>
  <si>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</si>
  <si>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</si>
  <si>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</si>
  <si>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</si>
  <si>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</si>
  <si>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</si>
  <si>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</si>
  <si>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</si>
  <si>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</si>
  <si>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</si>
  <si>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</si>
  <si>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</si>
  <si>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</si>
  <si>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</si>
  <si>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</si>
  <si>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</si>
  <si>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</si>
  <si>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</si>
  <si>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</si>
  <si>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</si>
  <si>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</si>
  <si>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</si>
  <si>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</si>
  <si>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</si>
  <si>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</si>
  <si>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</si>
  <si>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</si>
  <si>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</si>
  <si>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</si>
  <si>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</si>
  <si>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</si>
  <si>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1 12 02030 01 0000 120</t>
  </si>
  <si>
    <t>Регулярные платежи за пользование недрами при пользовании недрами на территории Российской Федерации</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</si>
  <si>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</si>
  <si>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</si>
  <si>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</si>
  <si>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</si>
  <si>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1 12 04000 00 0000 120</t>
  </si>
  <si>
    <t>Плата за использование лесов</t>
  </si>
  <si>
    <t>1 12 04010 00 0000 120</t>
  </si>
  <si>
    <t>Плата за использование лесов, расположенных на землях лесного фонда</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</si>
  <si>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</si>
  <si>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</si>
  <si>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</si>
  <si>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</si>
  <si>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</si>
  <si>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</si>
  <si>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</si>
  <si>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</si>
  <si>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</si>
  <si>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</si>
  <si>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Плата за предоставление сведений, документов, содержащихся в государственных реестрах (регистрах)</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</si>
  <si>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</si>
  <si>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</si>
  <si>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</si>
  <si>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</si>
  <si>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</si>
  <si>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</si>
  <si>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1 13 01990 00 0000 130</t>
  </si>
  <si>
    <t>Прочие доходы от оказания платных услуг (работ)</t>
  </si>
  <si>
    <t>1 13 01992 02 0000 130</t>
  </si>
  <si>
    <t>Прочие доходы от оказания платных услуг (работ) получателями средств бюджетов субъектов Российской Федерации</t>
  </si>
  <si>
    <t>1 13 02000 00 0000 130</t>
  </si>
  <si>
    <t>Доходы от компенсации затрат государства</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</si>
  <si>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</si>
  <si>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</si>
  <si>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</si>
  <si>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</si>
  <si>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</si>
  <si>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</si>
  <si>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</si>
  <si>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</si>
  <si>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</si>
  <si>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</si>
  <si>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</si>
  <si>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</si>
  <si>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</si>
  <si>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</si>
  <si>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</si>
  <si>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</si>
  <si>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</si>
  <si>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</si>
  <si>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</si>
  <si>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</si>
  <si>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</si>
  <si>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</si>
  <si>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</si>
  <si>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</si>
  <si>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</si>
  <si>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</si>
  <si>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1 16 00000 00 0000 000</t>
  </si>
  <si>
    <t>ШТРАФЫ, САНКЦИИ, ВОЗМЕЩЕНИЕ УЩЕРБА</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</si>
  <si>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</si>
  <si>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</si>
  <si>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</si>
  <si>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</si>
  <si>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</si>
  <si>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</si>
  <si>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</si>
  <si>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</si>
  <si>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</si>
  <si>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</si>
  <si>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1 16 25080 00 0000 140</t>
  </si>
  <si>
    <t xml:space="preserve">Денежные взыскания (штрафы) за нарушение водного законодательства </t>
  </si>
  <si>
    <t>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</si>
  <si>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</si>
  <si>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1 16 26000 01 0000 140</t>
  </si>
  <si>
    <t>Денежные взыскания (штрафы) за нарушение законодательства о рекламе</t>
  </si>
  <si>
    <t>1 16 27000 01 0000 140</t>
  </si>
  <si>
    <t>Денежные взыскания (штрафы) за нарушение законодательства Российской Федерации о пожарной безопасности</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</si>
  <si>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</si>
  <si>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</si>
  <si>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</si>
  <si>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</si>
  <si>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</si>
  <si>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</si>
  <si>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1 16 30020 01 0000 140</t>
  </si>
  <si>
    <t>Денежные взыскания (штрафы) за нарушение законодательства Российской Федерации о безопасности дорожного движения</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</si>
  <si>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</si>
  <si>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</si>
  <si>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</si>
  <si>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</si>
  <si>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</si>
  <si>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</si>
  <si>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</si>
  <si>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</si>
  <si>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1 16 90000 00 0000 140</t>
  </si>
  <si>
    <t>Прочие поступления от денежных взысканий (штрафов) и иных сумм в возмещение ущерба</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</si>
  <si>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</si>
  <si>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</si>
  <si>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</si>
  <si>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</si>
  <si>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</si>
  <si>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</si>
  <si>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2 02 10000 00 0000 151</t>
  </si>
  <si>
    <t>2 02 15009 02 0000 151</t>
  </si>
  <si>
    <t>2 02 20000 00 0000 151</t>
  </si>
  <si>
    <t>Субсидии бюджетам бюджетной системы Российской Федерации (межбюджетные субсидии)</t>
  </si>
  <si>
    <t>Субсидии бюджетам субъектов Российской Федерации на реализацию федеральных целевых программ</t>
  </si>
  <si>
    <t>2 02 20077 02 0000 151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</si>
  <si>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</si>
  <si>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2 02 25382 02 0000 151</t>
  </si>
  <si>
    <t>2 02 25519 02 0000 151</t>
  </si>
  <si>
    <t>2 02 25542 02 0000 151</t>
  </si>
  <si>
    <t>2 02 35120 02 0000 151</t>
  </si>
  <si>
    <t>2 02 35900 02 0000 151</t>
  </si>
  <si>
    <t>Иные межбюджетные трансферты</t>
  </si>
  <si>
    <t>2 02 45141 02 0000 151</t>
  </si>
  <si>
    <t>2 02 45142 02 0000 151</t>
  </si>
  <si>
    <t>Дотации бюджетам бюджетной системы Российской Федерации</t>
  </si>
  <si>
    <t>2 02 30000 00 0000 151</t>
  </si>
  <si>
    <t>Субвенции бюджетам бюджетной системы Российской Федерации</t>
  </si>
  <si>
    <t>2 02 40000 00 0000 151</t>
  </si>
  <si>
    <t>ГАД</t>
  </si>
  <si>
    <t>59100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</si>
  <si>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52-ФЗ "О животном мире" полномочий Российской Федерации в области организации, регулирования и охраны водных биологических ресурсов"</t>
  </si>
  <si>
    <t>59200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</si>
  <si>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</si>
  <si>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N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</si>
  <si>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</si>
  <si>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143-ФЗ "Об актах гражданского состояния" полномочий Российской Федерации на государственную регистрацию актов гражданского состояния"</t>
  </si>
  <si>
    <t>59400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</si>
  <si>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N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</si>
  <si>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59500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</si>
  <si>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</si>
  <si>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59800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</si>
  <si>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N 323-ФЗ "Об основах охраны здоровья граждан в Российской Федерации" полномочий Российской Федерации в сфере охраны здоровья"</t>
  </si>
  <si>
    <t>59900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</si>
  <si>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273-ФЗ "Об образовании в Российской Федерации" полномочий Российской Федерации в сфере образования"</t>
  </si>
  <si>
    <t>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t>
  </si>
  <si>
    <t>Финансовое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</si>
  <si>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</si>
  <si>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Реализация мероприятий по профилактике ВИЧ-инфекции и гепатитов B и C</t>
  </si>
  <si>
    <t>НР</t>
  </si>
  <si>
    <t>Укрепление материально-технической базы и оснащение оборудованием детских школ искусств и обеспечения сельских учреждений культуры специализированным автотранспортом</t>
  </si>
  <si>
    <t>Комплектование книжных фондов библиотек муниципальных образований и государственных библиотек городов Москвы и Санкт-Петербурга</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</si>
  <si>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t>
  </si>
  <si>
    <t>Государственная поддержка лучших работников муниципальных учреждений культуры, находящихся на террритории сельских поселений</t>
  </si>
  <si>
    <t>Государственная поддержка муниципальных учреждений культуры</t>
  </si>
  <si>
    <t>1 13 01400 01 0000 130</t>
  </si>
  <si>
    <t xml:space="preserve"> 1/12</t>
  </si>
  <si>
    <t>2 02 25544 02 0000 151</t>
  </si>
  <si>
    <t xml:space="preserve">2 02 25541 02 0000 151 </t>
  </si>
  <si>
    <t>2 02 20051 00 0000 151</t>
  </si>
  <si>
    <t>59ХХХ</t>
  </si>
  <si>
    <t>2 02 25560 02 0000 151</t>
  </si>
  <si>
    <t>доходы-субсидии, субвенции, иные МБТ</t>
  </si>
  <si>
    <t>1 13 01031 01 0000 130</t>
  </si>
  <si>
    <t>Плата за предоставление сведений из Единого государственного реестра недвижимости</t>
  </si>
  <si>
    <t xml:space="preserve">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</si>
  <si>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1 14 02023 02 0000 410
</t>
  </si>
  <si>
    <t xml:space="preserve">2 02 15001 02 0000 151
</t>
  </si>
  <si>
    <t>2 02 25027 02 0000 151</t>
  </si>
  <si>
    <t>2 02 25066 02 0000 151</t>
  </si>
  <si>
    <r>
      <t xml:space="preserve">Субсидии бюджетам субъектов Российской Федерации на подготовку управленческих кадров для организаций народного хозяйства Российской Федерации
</t>
    </r>
    <r>
      <rPr>
        <sz val="14"/>
        <color indexed="10"/>
        <rFont val="Times New Roman"/>
        <family val="1"/>
      </rPr>
      <t xml:space="preserve">Таблица 64 приложения 33 </t>
    </r>
  </si>
  <si>
    <t>2 02 25081 02 0000 151</t>
  </si>
  <si>
    <t>2 02 25082 02 0000 151</t>
  </si>
  <si>
    <r>
      <t xml:space="preserve">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sz val="14"/>
        <color indexed="10"/>
        <rFont val="Times New Roman"/>
        <family val="1"/>
      </rPr>
      <t xml:space="preserve">Таблица 47 приложения 33 </t>
    </r>
  </si>
  <si>
    <r>
      <t xml:space="preserve">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t>
    </r>
    <r>
      <rPr>
        <sz val="14"/>
        <color indexed="10"/>
        <rFont val="Times New Roman"/>
        <family val="1"/>
      </rPr>
      <t>Таблица 49 приложения 33</t>
    </r>
  </si>
  <si>
    <t>2 02 25086 02 0000 151</t>
  </si>
  <si>
    <r>
      <t xml:space="preserve">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
</t>
    </r>
    <r>
      <rPr>
        <sz val="14"/>
        <color indexed="10"/>
        <rFont val="Times New Roman"/>
        <family val="1"/>
      </rPr>
      <t>Таблица 37 приложения 33</t>
    </r>
  </si>
  <si>
    <t>2 02 25097 02 0000 151</t>
  </si>
  <si>
    <r>
      <t xml:space="preserve">Субсидия бюджетам субъектов Российской Федерации на поддержку отрасли культуры
</t>
    </r>
    <r>
      <rPr>
        <sz val="14"/>
        <color indexed="10"/>
        <rFont val="Times New Roman"/>
        <family val="1"/>
      </rPr>
      <t>Таблица 30 приложения 33</t>
    </r>
  </si>
  <si>
    <r>
      <t xml:space="preserve">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
</t>
    </r>
    <r>
      <rPr>
        <sz val="14"/>
        <color indexed="10"/>
        <rFont val="Times New Roman"/>
        <family val="1"/>
      </rPr>
      <t>Таблица 55 приложения 33</t>
    </r>
  </si>
  <si>
    <t>2 02 25543 02 0000 151</t>
  </si>
  <si>
    <t>2 02 25555 02 0000 151</t>
  </si>
  <si>
    <r>
      <t xml:space="preserve">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r>
      <rPr>
        <sz val="14"/>
        <color indexed="10"/>
        <rFont val="Times New Roman"/>
        <family val="1"/>
      </rPr>
      <t>Таблица 23 приложения 33</t>
    </r>
  </si>
  <si>
    <t>2 02 35128 02 0000 151</t>
  </si>
  <si>
    <t>2 02 35129 02 0000 151</t>
  </si>
  <si>
    <r>
      <t xml:space="preserve">Субвенции бюджетам субъектов Российской Федерации на осуществление отдельных полномочий в области лесных отношений
</t>
    </r>
    <r>
      <rPr>
        <sz val="14"/>
        <color indexed="10"/>
        <rFont val="Times New Roman"/>
        <family val="1"/>
      </rPr>
      <t>Таблица 22 приложения 33</t>
    </r>
  </si>
  <si>
    <t>2 02 35130 02 0000 151</t>
  </si>
  <si>
    <r>
      <t xml:space="preserve">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
</t>
    </r>
    <r>
      <rPr>
        <sz val="14"/>
        <color indexed="10"/>
        <rFont val="Times New Roman"/>
        <family val="1"/>
      </rPr>
      <t>Таблица 36 приложения 33</t>
    </r>
  </si>
  <si>
    <t>2 02 35134 02 0000 151</t>
  </si>
  <si>
    <r>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r>
    <r>
      <rPr>
        <sz val="14"/>
        <color indexed="10"/>
        <rFont val="Times New Roman"/>
        <family val="1"/>
      </rPr>
      <t>Таблица 28 приложения 33</t>
    </r>
  </si>
  <si>
    <t>2 02 35137 02 0000 151</t>
  </si>
  <si>
    <t>2 02 35135 02 0000 151</t>
  </si>
  <si>
    <t>2 02 35220 02 0000 151</t>
  </si>
  <si>
    <t>2 02 35240 02 0000 151</t>
  </si>
  <si>
    <r>
      <t xml:space="preserve">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t>
    </r>
    <r>
      <rPr>
        <sz val="14"/>
        <color indexed="10"/>
        <rFont val="Times New Roman"/>
        <family val="1"/>
      </rPr>
      <t>Таблица 8 приложения 33</t>
    </r>
  </si>
  <si>
    <t>2 02 35250 02 0000 151</t>
  </si>
  <si>
    <r>
      <t xml:space="preserve">Субвенции бюджетам субъектов Российской Федерации на оплату жилищно-коммунальных услуг отдельным категориям граждан
</t>
    </r>
    <r>
      <rPr>
        <sz val="14"/>
        <color indexed="10"/>
        <rFont val="Times New Roman"/>
        <family val="1"/>
      </rPr>
      <t>Таблица 5 приложения 33</t>
    </r>
  </si>
  <si>
    <t>2 02 35260 02 0000 151</t>
  </si>
  <si>
    <r>
      <t xml:space="preserve">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
</t>
    </r>
    <r>
      <rPr>
        <sz val="14"/>
        <color indexed="10"/>
        <rFont val="Times New Roman"/>
        <family val="1"/>
      </rPr>
      <t>Таблица 9 приложения 33</t>
    </r>
  </si>
  <si>
    <r>
      <t xml:space="preserve">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r>
    <r>
      <rPr>
        <sz val="14"/>
        <color indexed="10"/>
        <rFont val="Times New Roman"/>
        <family val="1"/>
      </rPr>
      <t>Таблица 14 приложения 33</t>
    </r>
  </si>
  <si>
    <t>2 02 35270 02 0000 151</t>
  </si>
  <si>
    <t>2 02 35280 02 0000 151</t>
  </si>
  <si>
    <r>
      <t xml:space="preserve">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t>
    </r>
    <r>
      <rPr>
        <sz val="14"/>
        <color indexed="10"/>
        <rFont val="Times New Roman"/>
        <family val="1"/>
      </rPr>
      <t>Таблица 11 приложения 33</t>
    </r>
  </si>
  <si>
    <t>2 02 35290 02 0000 151</t>
  </si>
  <si>
    <r>
      <t xml:space="preserve">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t>
    </r>
    <r>
      <rPr>
        <sz val="14"/>
        <color indexed="10"/>
        <rFont val="Times New Roman"/>
        <family val="1"/>
      </rPr>
      <t>Таблица 12 приложения 33</t>
    </r>
  </si>
  <si>
    <t>2 02 35380 02 0000 151</t>
  </si>
  <si>
    <r>
      <t xml:space="preserve">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r>
    <r>
      <rPr>
        <sz val="14"/>
        <color indexed="10"/>
        <rFont val="Times New Roman"/>
        <family val="1"/>
      </rPr>
      <t>Таблица 10 приложения 33</t>
    </r>
  </si>
  <si>
    <t>2 02 45161 02 0000 151</t>
  </si>
  <si>
    <r>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r>
    <r>
      <rPr>
        <sz val="14"/>
        <color indexed="10"/>
        <rFont val="Times New Roman"/>
        <family val="1"/>
      </rPr>
      <t>Таблица 1 приложения 33</t>
    </r>
  </si>
  <si>
    <t>2 02 25467 02 0000 151</t>
  </si>
  <si>
    <t>2 02 20051 02 0000 151</t>
  </si>
  <si>
    <r>
      <t xml:space="preserve">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
</t>
    </r>
    <r>
      <rPr>
        <sz val="14"/>
        <color indexed="10"/>
        <rFont val="Times New Roman"/>
        <family val="1"/>
      </rPr>
      <t>Таблица 33 приложения 33</t>
    </r>
  </si>
  <si>
    <t>2 02 25520 02 0000 151</t>
  </si>
  <si>
    <r>
      <t xml:space="preserve">Субвенции бюджетам субъектов Российской Федерации на осуществление отдельных полномочий в области водных отношений
</t>
    </r>
    <r>
      <rPr>
        <sz val="14"/>
        <color indexed="10"/>
        <rFont val="Times New Roman"/>
        <family val="1"/>
      </rPr>
      <t>Таблица 21 приложения 33</t>
    </r>
  </si>
  <si>
    <r>
      <t xml:space="preserve">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t>
    </r>
    <r>
      <rPr>
        <i/>
        <sz val="11"/>
        <color indexed="10"/>
        <rFont val="Times New Roman"/>
        <family val="1"/>
      </rPr>
      <t xml:space="preserve">Таблица 50 приложения 33 </t>
    </r>
  </si>
  <si>
    <r>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r>
    <r>
      <rPr>
        <sz val="14"/>
        <color indexed="10"/>
        <rFont val="Times New Roman"/>
        <family val="1"/>
      </rPr>
      <t xml:space="preserve">Таблица 41 приложения 33 </t>
    </r>
  </si>
  <si>
    <r>
      <t xml:space="preserve">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
</t>
    </r>
    <r>
      <rPr>
        <sz val="14"/>
        <color indexed="10"/>
        <rFont val="Times New Roman"/>
        <family val="1"/>
      </rPr>
      <t>Таблица 45 приложения 33</t>
    </r>
  </si>
  <si>
    <t>54950</t>
  </si>
  <si>
    <r>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r>
    <r>
      <rPr>
        <sz val="14"/>
        <color indexed="10"/>
        <rFont val="Times New Roman"/>
        <family val="1"/>
      </rPr>
      <t xml:space="preserve"> 
(Планируется представить к возмещению)</t>
    </r>
  </si>
  <si>
    <r>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r>
    <r>
      <rPr>
        <sz val="14"/>
        <color indexed="10"/>
        <rFont val="Times New Roman"/>
        <family val="1"/>
      </rPr>
      <t>(Планируется представить к возмещению)</t>
    </r>
  </si>
  <si>
    <t>2 02 25533 02 0000 151</t>
  </si>
  <si>
    <t>2 02 25534 02 0000 151</t>
  </si>
  <si>
    <r>
      <t xml:space="preserve">Субсидии бюджетам субъектов Российской Федерации на реализацию мероприятий в области мелиорации земель сельскохозяйственного назначения
</t>
    </r>
    <r>
      <rPr>
        <sz val="14"/>
        <color indexed="10"/>
        <rFont val="Times New Roman"/>
        <family val="1"/>
      </rPr>
      <t>Таблица 70 приложения 33</t>
    </r>
  </si>
  <si>
    <t>2 02 25568 02 0000 151</t>
  </si>
  <si>
    <t>2 02 25567 02 0000 151</t>
  </si>
  <si>
    <r>
      <t xml:space="preserve">Дотации бюджетам субъектов Российской Федерации на выравнивание бюджетной обеспеченности
</t>
    </r>
    <r>
      <rPr>
        <sz val="14"/>
        <color indexed="10"/>
        <rFont val="Times New Roman"/>
        <family val="1"/>
      </rPr>
      <t>Таблица 78 приложения 33</t>
    </r>
  </si>
  <si>
    <r>
      <rPr>
        <sz val="14"/>
        <rFont val="Times New Roman"/>
        <family val="1"/>
      </rPr>
      <t xml:space="preserve"> 
55670</t>
    </r>
  </si>
  <si>
    <t xml:space="preserve">
55670</t>
  </si>
  <si>
    <r>
      <t>Субсидии бюджетам субъектов Российской Федерации на реализацию мероприятий по устойчивому развитию сельских территорий</t>
    </r>
    <r>
      <rPr>
        <sz val="14"/>
        <color indexed="36"/>
        <rFont val="Times New Roman"/>
        <family val="1"/>
      </rPr>
      <t xml:space="preserve">
</t>
    </r>
    <r>
      <rPr>
        <sz val="14"/>
        <color indexed="10"/>
        <rFont val="Times New Roman"/>
        <family val="1"/>
      </rPr>
      <t>Таблица 68 приложения 33
(мероприятия по улучшению жилищных условий граждан, проживающих в сельской местности)</t>
    </r>
  </si>
  <si>
    <r>
      <t>Субсидии бюджетам субъектов Российской Федерации на реализацию мероприятий по устойчивому развитию сельских территорий</t>
    </r>
    <r>
      <rPr>
        <sz val="14"/>
        <color indexed="36"/>
        <rFont val="Times New Roman"/>
        <family val="1"/>
      </rPr>
      <t xml:space="preserve">
</t>
    </r>
    <r>
      <rPr>
        <sz val="14"/>
        <color indexed="10"/>
        <rFont val="Times New Roman"/>
        <family val="1"/>
      </rPr>
      <t>Таблица 69 приложения 33 
(грантовая поддержка местных инициатив граждан, проживающих в сельской местности)</t>
    </r>
  </si>
  <si>
    <t>Доходы областного бюджета на 2018 - 2020 годы</t>
  </si>
  <si>
    <r>
      <t xml:space="preserve">
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t>
    </r>
    <r>
      <rPr>
        <sz val="14"/>
        <color indexed="10"/>
        <rFont val="Times New Roman"/>
        <family val="1"/>
      </rPr>
      <t xml:space="preserve">Таблица 58 приложения 33
</t>
    </r>
  </si>
  <si>
    <r>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t>
    </r>
    <r>
      <rPr>
        <sz val="14"/>
        <color indexed="10"/>
        <rFont val="Times New Roman"/>
        <family val="1"/>
      </rPr>
      <t>Таблица 62 приложения 33</t>
    </r>
    <r>
      <rPr>
        <sz val="14"/>
        <rFont val="Times New Roman"/>
        <family val="1"/>
      </rPr>
      <t xml:space="preserve">
</t>
    </r>
  </si>
  <si>
    <t>изменение</t>
  </si>
  <si>
    <t>Субсидии на реализацию мероприятий по осуществлению единовременных компенсационных выплат медицинским работникам</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</si>
  <si>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</si>
  <si>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</si>
  <si>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2 02 25084 02 0000 151</t>
  </si>
  <si>
    <t>2 02 25402 02 0000 151</t>
  </si>
  <si>
    <t>2 02 25527 02 0000 151</t>
  </si>
  <si>
    <r>
      <t xml:space="preserve">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r>
    <r>
      <rPr>
        <sz val="14"/>
        <color indexed="10"/>
        <rFont val="Times New Roman"/>
        <family val="1"/>
      </rPr>
      <t>Таблица 96 приложения 33</t>
    </r>
  </si>
  <si>
    <t>2 02 25517 02 0000 151</t>
  </si>
  <si>
    <r>
      <t xml:space="preserve">Субсидии бюджетам субъектов Российской Федерации на повышение продуктивности в молочном скотоводстве  
</t>
    </r>
    <r>
      <rPr>
        <sz val="14"/>
        <color indexed="10"/>
        <rFont val="Times New Roman"/>
        <family val="1"/>
      </rPr>
      <t>Таблица 96 приложения 33</t>
    </r>
  </si>
  <si>
    <r>
      <t xml:space="preserve">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
</t>
    </r>
    <r>
      <rPr>
        <sz val="14"/>
        <color indexed="10"/>
        <rFont val="Times New Roman"/>
        <family val="1"/>
      </rPr>
      <t>Таблица 29 приложения 33</t>
    </r>
  </si>
  <si>
    <r>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r>
    <r>
      <rPr>
        <sz val="14"/>
        <color indexed="10"/>
        <rFont val="Times New Roman"/>
        <family val="1"/>
      </rPr>
      <t>Таблица 76 приложения 33</t>
    </r>
  </si>
  <si>
    <r>
      <t xml:space="preserve">Субсидии бюджетам субъектов Российской Федерации на поддержку обустройства мест массового отдыха населения (городских парков) 
</t>
    </r>
    <r>
      <rPr>
        <sz val="14"/>
        <color indexed="10"/>
        <rFont val="Times New Roman"/>
        <family val="1"/>
      </rPr>
      <t>Таблица 93 приложения 33</t>
    </r>
  </si>
  <si>
    <r>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r>
    <r>
      <rPr>
        <sz val="14"/>
        <color indexed="10"/>
        <rFont val="Times New Roman"/>
        <family val="1"/>
      </rPr>
      <t xml:space="preserve"> 
Таблица 89 приложения 33
распределение по предложениям ДЗ БО</t>
    </r>
  </si>
  <si>
    <t>2 02 25209 02 0000 151</t>
  </si>
  <si>
    <r>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r>
    <r>
      <rPr>
        <sz val="14"/>
        <color indexed="10"/>
        <rFont val="Times New Roman"/>
        <family val="1"/>
      </rPr>
      <t>Средства ПФР (протокол)</t>
    </r>
  </si>
  <si>
    <t xml:space="preserve"> 2 02 25497 02 0000 151</t>
  </si>
  <si>
    <t xml:space="preserve"> 2 02 25021 02 0000 151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</si>
  <si>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</si>
  <si>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55160</t>
  </si>
  <si>
    <t>2 02 35176 02 0000 151</t>
  </si>
  <si>
    <t>2 02 35573 02 0000 151</t>
  </si>
  <si>
    <t>2 02 35194 02 0000 151</t>
  </si>
  <si>
    <t>2 02 35460 02 0000 151</t>
  </si>
  <si>
    <r>
      <t xml:space="preserve">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t>
    </r>
    <r>
      <rPr>
        <sz val="14"/>
        <color indexed="10"/>
        <rFont val="Times New Roman"/>
        <family val="1"/>
      </rPr>
      <t>(Распор. от 27.12.2017 № 2965-р)</t>
    </r>
  </si>
  <si>
    <r>
      <t xml:space="preserve">Субсидии бюджетам субъектов Российской Федерации на реализацию мероприятий по обеспечению жильем молодых семей
</t>
    </r>
    <r>
      <rPr>
        <sz val="14"/>
        <color indexed="12"/>
        <rFont val="Times New Roman"/>
        <family val="1"/>
      </rPr>
      <t xml:space="preserve">в рамках основного мероприятия "Обеспечение жильем молодых семей"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r>
    <r>
      <rPr>
        <sz val="14"/>
        <color indexed="10"/>
        <rFont val="Times New Roman"/>
        <family val="1"/>
      </rPr>
      <t xml:space="preserve">Таблица 54 приложения 33 </t>
    </r>
  </si>
  <si>
    <r>
      <t xml:space="preserve">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
</t>
    </r>
    <r>
      <rPr>
        <sz val="14"/>
        <color indexed="10"/>
        <rFont val="Times New Roman"/>
        <family val="1"/>
      </rPr>
      <t>Таблица 52 приложения 33</t>
    </r>
  </si>
  <si>
    <t>2 02 25516 02 0000 151</t>
  </si>
  <si>
    <t xml:space="preserve">816
821
</t>
  </si>
  <si>
    <r>
      <t xml:space="preserve">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
</t>
    </r>
    <r>
      <rPr>
        <sz val="14"/>
        <color indexed="10"/>
        <rFont val="Times New Roman"/>
        <family val="1"/>
      </rPr>
      <t>(Распор. от 30.12.2017 № 3008-р)</t>
    </r>
  </si>
  <si>
    <t>819
825</t>
  </si>
  <si>
    <t>5612R</t>
  </si>
  <si>
    <t>2 02 49000 02 0000 151</t>
  </si>
  <si>
    <t>2 02 23009 02 0000 151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</si>
  <si>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</si>
  <si>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5669R</t>
  </si>
  <si>
    <t>2 03 00000 00 0000 000</t>
  </si>
  <si>
    <t>Безвозмездные поступления от государственных (муниципальных) организаций</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</si>
  <si>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</si>
  <si>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</si>
  <si>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2 07 02000 02 0000 180
</t>
  </si>
  <si>
    <t>Прочие безвозмездные поступления</t>
  </si>
  <si>
    <t>Прочие безвозмездные поступления в бюджеты субъектов Российской Федерации</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</si>
  <si>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</si>
  <si>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</si>
  <si>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</si>
  <si>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</si>
  <si>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r>
      <t xml:space="preserve">  Доходы бюджетов субъектов Российской Федерации от возврата автономными учреждениями остатков субсидий прошлых лет
</t>
    </r>
    <r>
      <rPr>
        <sz val="12"/>
        <color indexed="12"/>
        <rFont val="Times New Roman"/>
        <family val="1"/>
      </rPr>
      <t xml:space="preserve">Субсидии государственным учреждениям на организацию и проведение протокольных мероприятий </t>
    </r>
    <r>
      <rPr>
        <sz val="12"/>
        <color indexed="10"/>
        <rFont val="Times New Roman"/>
        <family val="1"/>
      </rPr>
      <t>(экономия сложилась в результате уменьшения количества проведенных протокольных мероприятий)</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</si>
  <si>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Субсдия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 содействия реформированию жилищно-коммунального хозяйства"</t>
    </r>
    <r>
      <rPr>
        <sz val="12"/>
        <color indexed="8"/>
        <rFont val="Times New Roman"/>
        <family val="1"/>
      </rPr>
      <t xml:space="preserve"> </t>
    </r>
    <r>
      <rPr>
        <sz val="12"/>
        <color indexed="10"/>
        <rFont val="Times New Roman"/>
        <family val="1"/>
      </rPr>
      <t>(в связи с признанием аварийных домов пригодными для проживания)</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</si>
  <si>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r>
    <r>
      <rPr>
        <sz val="12"/>
        <color indexed="10"/>
        <rFont val="Times New Roman"/>
        <family val="1"/>
      </rPr>
      <t xml:space="preserve"> (в связи с признанием аварийных домов пригодными для проживания)</t>
    </r>
  </si>
  <si>
    <r>
      <t xml:space="preserve">  Доходы бюджетов субъектов Российской Федерации от возврата иными организациями остатков субсидий прошлых лет
</t>
    </r>
    <r>
      <rPr>
        <sz val="12"/>
        <color indexed="12"/>
        <rFont val="Times New Roman"/>
        <family val="1"/>
      </rPr>
      <t>Субсидия на финансовое обеспечение деятельности, направленной на формирование средств и имущества для обеспечения организации и проведения капитального ремонта общего имущества в многоквартирных домах, расположенных на территории Брянской области</t>
    </r>
    <r>
      <rPr>
        <sz val="12"/>
        <color indexed="10"/>
        <rFont val="Times New Roman"/>
        <family val="1"/>
      </rPr>
      <t xml:space="preserve"> (экономия по результатам торгов)</t>
    </r>
    <r>
      <rPr>
        <sz val="12"/>
        <color indexed="8"/>
        <rFont val="Times New Roman"/>
        <family val="1"/>
      </rPr>
      <t xml:space="preserve">
</t>
    </r>
  </si>
  <si>
    <r>
      <t xml:space="preserve">  Доходы бюджетов субъектов Российской Федерации от возврата бюджетными учреждениями остатков субсидий прошлых лет
</t>
    </r>
    <r>
      <rPr>
        <sz val="12"/>
        <color indexed="12"/>
        <rFont val="Times New Roman"/>
        <family val="1"/>
      </rPr>
      <t>Доходы бюджетов субъектов Российской Федерации от возврата бюджетными учреждениями остатков субсидий прошлых лет</t>
    </r>
    <r>
      <rPr>
        <sz val="12"/>
        <color indexed="10"/>
        <rFont val="Times New Roman"/>
        <family val="1"/>
      </rPr>
      <t xml:space="preserve"> (неисполненные учреждениями соглашения по субсидиям на иные цели в связи с несвоевременным предоставлением поставщиками документов на оплату (ГБУЗ Красногорская ЦРБ)</t>
    </r>
  </si>
  <si>
    <r>
      <t xml:space="preserve">  Доходы бюджетов субъектов Российской Федерации от возврата бюджетными учреждениями остатков субсидий прошлых лет
</t>
    </r>
    <r>
      <rPr>
        <sz val="12"/>
        <color indexed="12"/>
        <rFont val="Times New Roman"/>
        <family val="1"/>
      </rPr>
      <t xml:space="preserve">Субсидии бюджетным учреждениям на иные цели </t>
    </r>
    <r>
      <rPr>
        <sz val="12"/>
        <color indexed="10"/>
        <rFont val="Times New Roman"/>
        <family val="1"/>
      </rPr>
      <t>(отсутствие потребности вследствие завершения расчётов по состоянию на 01.01.2018)</t>
    </r>
  </si>
  <si>
    <r>
      <t xml:space="preserve">  Доходы бюджетов субъектов Российской Федерации от возврата иными организациями остатков субсидий прошлых лет
</t>
    </r>
    <r>
      <rPr>
        <sz val="12"/>
        <color indexed="12"/>
        <rFont val="Times New Roman"/>
        <family val="1"/>
      </rPr>
      <t xml:space="preserve">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 </t>
    </r>
    <r>
      <rPr>
        <sz val="12"/>
        <color indexed="10"/>
        <rFont val="Times New Roman"/>
        <family val="1"/>
      </rPr>
      <t>(возврат остатка 2017 года от ГУП "Унечский ветсанутильзавод" в сумме 18 000 000,0 рублей. Потребность в использовании потверждена в сумме 17 700 000,0 рублей и возвращена ГУП "Унеческий ветсанутильзавод" в 2018 году для использования на те же цели)</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</si>
  <si>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r>
    <r>
      <rPr>
        <sz val="12"/>
        <color indexed="10"/>
        <rFont val="Times New Roman"/>
        <family val="1"/>
      </rPr>
      <t xml:space="preserve"> (Расторжение договора о приемной семье. Экономия по торгам)</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</si>
  <si>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r>
    <r>
      <rPr>
        <sz val="12"/>
        <color indexed="10"/>
        <rFont val="Times New Roman"/>
        <family val="1"/>
      </rPr>
      <t>(расторжение договора о приемной семье. Экономия по торгам)</t>
    </r>
  </si>
  <si>
    <r>
      <t xml:space="preserve">  Доходы бюджетов субъектов Российской Федерации от возврата автономными учреждениями остатков субсидий прошлых лет
</t>
    </r>
    <r>
      <rPr>
        <sz val="12"/>
        <color indexed="12"/>
        <rFont val="Times New Roman"/>
        <family val="1"/>
      </rPr>
      <t xml:space="preserve">Субсидии государственным учреждениям на реализацию мероприятий по вовлечению населения в занятия физической культурой и массовым спортом, участие в соревнованиях различного уровня </t>
    </r>
    <r>
      <rPr>
        <sz val="12"/>
        <color indexed="10"/>
        <rFont val="Times New Roman"/>
        <family val="1"/>
      </rPr>
      <t>(возврат денежных средств от получателя в 2018 году, перечисленных за счет субсидии прошлых лет)</t>
    </r>
  </si>
  <si>
    <r>
      <t xml:space="preserve">  Доходы бюджетов субъектов Российской Федерации от возврата бюджетными учреждениями остатков субсидий прошлых лет
Субсидии бюджетным учреждениям на иные цели  </t>
    </r>
    <r>
      <rPr>
        <sz val="12"/>
        <color indexed="12"/>
        <rFont val="Times New Roman"/>
        <family val="1"/>
      </rPr>
      <t>(приобретение основных средств и увеличение стоимости материальных запасов)</t>
    </r>
    <r>
      <rPr>
        <sz val="12"/>
        <color indexed="8"/>
        <rFont val="Times New Roman"/>
        <family val="1"/>
      </rPr>
      <t xml:space="preserve"> </t>
    </r>
    <r>
      <rPr>
        <sz val="12"/>
        <color indexed="10"/>
        <rFont val="Times New Roman"/>
        <family val="1"/>
      </rPr>
      <t>(экономия в результате проведения торгов)</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</si>
  <si>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Иные межбюджетные трансферты на создание и развитие сети многофункциональных центров предоставления государственных и муниципальных услуг</t>
    </r>
    <r>
      <rPr>
        <sz val="12"/>
        <color indexed="10"/>
        <rFont val="Times New Roman"/>
        <family val="1"/>
      </rPr>
      <t xml:space="preserve"> (возврат остатка межбюджетного трансферта вследствие возникшей экономии при торгах)</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</si>
  <si>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 xml:space="preserve">Субсидии на государственную поддержку малого и среднего предпринимательства, включая крестьянские (фермерские) хоязяйства </t>
    </r>
    <r>
      <rPr>
        <sz val="12"/>
        <color indexed="10"/>
        <rFont val="Times New Roman"/>
        <family val="1"/>
      </rPr>
      <t>(возврат остатка субсидии из-за проведения конкурса в декабре 2017 и отсутствия заявок )</t>
    </r>
  </si>
  <si>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Субвенции по профилактике безнадзорности и правонарушений несовершеннолетних, организация деятельности административных комиссий и определения перечня должностых лиц органов местного самоуправления, уполномоченных составлять протоколы об административных правонарушениях</t>
    </r>
    <r>
      <rPr>
        <sz val="12"/>
        <color indexed="8"/>
        <rFont val="Times New Roman"/>
        <family val="1"/>
      </rPr>
      <t xml:space="preserve"> </t>
    </r>
    <r>
      <rPr>
        <sz val="12"/>
        <color indexed="10"/>
        <rFont val="Times New Roman"/>
        <family val="1"/>
      </rPr>
      <t>(Климовским районом был осуществлен возврат денежных ассигнований в связи с возвратом платежа)</t>
    </r>
  </si>
  <si>
    <t>2 18 02010 02 0000 180</t>
  </si>
  <si>
    <t>2 18 02020 02 0000 180</t>
  </si>
  <si>
    <t>2 18 60010 02 0000 151</t>
  </si>
  <si>
    <t>2 18 02030 02 0000 180</t>
  </si>
  <si>
    <t>2 19 51360 02 0000 151</t>
  </si>
  <si>
    <t>2 19 90000 02 0000 151</t>
  </si>
  <si>
    <t>2 19 25064 02 0000 151</t>
  </si>
  <si>
    <t>2 19 35118 02 0000 151</t>
  </si>
  <si>
    <r>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
</t>
    </r>
    <r>
      <rPr>
        <sz val="12"/>
        <color indexed="12"/>
        <rFont val="Times New Roman"/>
        <family val="1"/>
      </rPr>
      <t xml:space="preserve">Доходы от возврата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 </t>
    </r>
    <r>
      <rPr>
        <sz val="12"/>
        <color indexed="10"/>
        <rFont val="Times New Roman"/>
        <family val="1"/>
      </rPr>
      <t>(возврат единых компенсационных выплат медработниками, расторгнувшими договор до установленного срока)</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</si>
  <si>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 xml:space="preserve">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 </t>
    </r>
    <r>
      <rPr>
        <sz val="12"/>
        <color indexed="10"/>
        <rFont val="Times New Roman"/>
        <family val="1"/>
      </rPr>
      <t>(возврат пособий из отделения сбербанка)</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</si>
  <si>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Субвенции на обеспечение инвалидов техническими средствами реабилитации, включая изготовление и ремонт протезно-ортопедических изделий</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</si>
  <si>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</si>
  <si>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Субвенции бюджетам субъектов Российской Федерации на оплату жилищно-коммунальных услуг отдельным категориям граждан</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</si>
  <si>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</si>
  <si>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 xml:space="preserve">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</si>
  <si>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 xml:space="preserve">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t>
    </r>
    <r>
      <rPr>
        <sz val="12"/>
        <color indexed="10"/>
        <rFont val="Times New Roman"/>
        <family val="1"/>
      </rPr>
      <t>(остаток неиспользованной субвенции)</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</si>
  <si>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r>
    <r>
      <rPr>
        <sz val="12"/>
        <color indexed="8"/>
        <rFont val="Times New Roman"/>
        <family val="1"/>
      </rPr>
      <t xml:space="preserve"> </t>
    </r>
    <r>
      <rPr>
        <sz val="12"/>
        <color indexed="10"/>
        <rFont val="Times New Roman"/>
        <family val="1"/>
      </rPr>
      <t>(возврат безработными гражданами стипендии, пособия, полученного обманным путем прошлых лет)</t>
    </r>
  </si>
  <si>
    <r>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 xml:space="preserve">Субсидии на реализацию дополнительных мероприятий в сфере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 </t>
    </r>
    <r>
      <rPr>
        <sz val="12"/>
        <color indexed="10"/>
        <rFont val="Times New Roman"/>
        <family val="1"/>
      </rPr>
      <t>(возврат субсидии по исполнительным листам. Восстановленные в бюджет средства субсидии, использованные в предшествующие годы)</t>
    </r>
  </si>
  <si>
    <r>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
</t>
    </r>
    <r>
      <rPr>
        <sz val="12"/>
        <color indexed="12"/>
        <rFont val="Times New Roman"/>
        <family val="1"/>
      </rPr>
      <t xml:space="preserve">Субсидии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 </t>
    </r>
    <r>
      <rPr>
        <sz val="12"/>
        <color indexed="10"/>
        <rFont val="Times New Roman"/>
        <family val="1"/>
      </rPr>
      <t>(возврат субсидии на гос.поддержку малого и среднего предпринимательства, возмещенных получателями в добровольном и принудительном порядке)</t>
    </r>
  </si>
  <si>
    <r>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
</t>
    </r>
    <r>
      <rPr>
        <sz val="12"/>
        <color indexed="12"/>
        <rFont val="Times New Roman"/>
        <family val="1"/>
      </rPr>
      <t xml:space="preserve">Субвенции на осуществление первичного воинского учета на территориях, где отсутствуют военные комиссариаты </t>
    </r>
    <r>
      <rPr>
        <sz val="12"/>
        <color indexed="10"/>
        <rFont val="Times New Roman"/>
        <family val="1"/>
      </rPr>
      <t>(г.Фокино был осуществлен возврат денежных ассигнований в связи с блокировкой единого счета бюджета городского округа)</t>
    </r>
  </si>
  <si>
    <r>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r>
    <r>
      <rPr>
        <i/>
        <sz val="11"/>
        <color indexed="12"/>
        <rFont val="Times New Roman"/>
        <family val="1"/>
      </rPr>
      <t>(сумма от Минспорта через Минтруд - 1 979 400,0)</t>
    </r>
  </si>
  <si>
    <r>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r>
    <r>
      <rPr>
        <i/>
        <sz val="11"/>
        <color indexed="12"/>
        <rFont val="Times New Roman"/>
        <family val="1"/>
      </rPr>
      <t>(сумма от Минобра через Минтруд - 4 547 200,0 
от Минобра через Минобр - 2 611 400,0)</t>
    </r>
  </si>
  <si>
    <r>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r>
    <r>
      <rPr>
        <i/>
        <sz val="11"/>
        <color indexed="12"/>
        <rFont val="Times New Roman"/>
        <family val="1"/>
      </rPr>
      <t xml:space="preserve">(сумма от Минтруда через Минтруд- 1 565 800,0)
</t>
    </r>
    <r>
      <rPr>
        <i/>
        <sz val="11"/>
        <color indexed="10"/>
        <rFont val="Times New Roman"/>
        <family val="1"/>
      </rPr>
      <t xml:space="preserve">в расходах обл. бюджета распределена по: 811 - 215 759,8; 
814 - 350 000,0; 815 - 200 008,2; 821 - 400 016,0; 825 - 200 008,0; 832 - 200 008,0) </t>
    </r>
  </si>
  <si>
    <t xml:space="preserve">2 02 15002 02 0000 151
</t>
  </si>
  <si>
    <r>
      <t xml:space="preserve">Дотации бюджетам субъектов Российской Федерации на поддержку мер по обеспечению сбалансированности бюджетов
</t>
    </r>
    <r>
      <rPr>
        <sz val="14"/>
        <color indexed="10"/>
        <rFont val="Times New Roman"/>
        <family val="1"/>
      </rPr>
      <t>распоряжение Правительства РФ от 16.03.2018 №440-р</t>
    </r>
    <r>
      <rPr>
        <sz val="14"/>
        <rFont val="Times New Roman"/>
        <family val="1"/>
      </rPr>
      <t xml:space="preserve">
</t>
    </r>
  </si>
  <si>
    <t xml:space="preserve">
 на 2018 год
101-З</t>
  </si>
  <si>
    <t xml:space="preserve">
 на 2019 год
101-З</t>
  </si>
  <si>
    <t xml:space="preserve">
 на 2020 год
101-З</t>
  </si>
  <si>
    <t>55680</t>
  </si>
  <si>
    <t>2 02 25674 02 0000 151</t>
  </si>
  <si>
    <t>5673F</t>
  </si>
  <si>
    <t>2 02 49001 02 0000 151</t>
  </si>
  <si>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sz val="14"/>
        <color indexed="12"/>
        <rFont val="Times New Roman"/>
        <family val="1"/>
      </rPr>
      <t>(на приобретение передвижных медицинских комплексов для населенных пунктов с численностью населения до 100 человек)</t>
    </r>
    <r>
      <rPr>
        <sz val="14"/>
        <rFont val="Times New Roman"/>
        <family val="1"/>
      </rPr>
      <t xml:space="preserve"> 
</t>
    </r>
    <r>
      <rPr>
        <sz val="14"/>
        <color indexed="10"/>
        <rFont val="Times New Roman"/>
        <family val="1"/>
      </rPr>
      <t>распоряжение Правительства РФ от 03.03.2018 №370-р</t>
    </r>
  </si>
  <si>
    <r>
      <t xml:space="preserve">Межбюджетные трансферты, передаваемые бюджетам субъектов Российской Федерации, за счет средств резервного фонда Президента Российской Федерации
</t>
    </r>
    <r>
      <rPr>
        <sz val="14"/>
        <color indexed="12"/>
        <rFont val="Times New Roman"/>
        <family val="1"/>
      </rPr>
      <t xml:space="preserve">(на приобретение комплекса планетарного сканирования)
</t>
    </r>
    <r>
      <rPr>
        <sz val="14"/>
        <color indexed="10"/>
        <rFont val="Times New Roman"/>
        <family val="1"/>
      </rPr>
      <t>распоряжение Правительства РФ от 28.12.2017 №462-рп</t>
    </r>
  </si>
  <si>
    <r>
      <t xml:space="preserve">Межбюджетные трансферты, передаваемые бюджетам субъектов Российской Федерации, за счет средств резервного фонда Президента Российской Федерации 
</t>
    </r>
    <r>
      <rPr>
        <sz val="14"/>
        <color indexed="12"/>
        <rFont val="Times New Roman"/>
        <family val="1"/>
      </rPr>
      <t xml:space="preserve">(на приобретение музыкальных инструментов)
</t>
    </r>
    <r>
      <rPr>
        <sz val="14"/>
        <color indexed="10"/>
        <rFont val="Times New Roman"/>
        <family val="1"/>
      </rPr>
      <t>распоряжение Правительства РФ от 28.12.2017 №462-рп</t>
    </r>
  </si>
  <si>
    <r>
      <t xml:space="preserve">Межбюджетные трансферты, передаваемые бюджетам субъектов Российской Федерации, за счет средств резервного фонда Президента Российской Федерации
</t>
    </r>
    <r>
      <rPr>
        <sz val="14"/>
        <color indexed="12"/>
        <rFont val="Times New Roman"/>
        <family val="1"/>
      </rPr>
      <t xml:space="preserve">(на капитальный ремонт зданий)
</t>
    </r>
    <r>
      <rPr>
        <sz val="14"/>
        <color indexed="10"/>
        <rFont val="Times New Roman"/>
        <family val="1"/>
      </rPr>
      <t>распоряжение Правительства РФ от 28.12.2017 №462-рп</t>
    </r>
  </si>
  <si>
    <r>
      <t xml:space="preserve">Доходы бюджетов субъектов Российской Федерации от возврата иными организациями остатков субсидий прошлых лет
</t>
    </r>
    <r>
      <rPr>
        <sz val="12"/>
        <color indexed="12"/>
        <rFont val="Times New Roman"/>
        <family val="1"/>
      </rPr>
      <t>Субсидия ГУП "Брянккомунэнерго" на осуществление капитальных вложений в объекты государственной собственности</t>
    </r>
    <r>
      <rPr>
        <sz val="12"/>
        <color indexed="10"/>
        <rFont val="Times New Roman"/>
        <family val="1"/>
      </rPr>
      <t xml:space="preserve"> (возврат остатка средств субсидии прошлых лет потребность в котором не подтверждена)</t>
    </r>
  </si>
  <si>
    <t>218 02030 02 0000 180</t>
  </si>
  <si>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Предоставление мер социальной поддержки по оплате жилья и коммунальных услуг отдельными категориями граждан, работающих в учреждениях культуры, находящихся в сельской местности или поселках городского типа на территории Брянской области</t>
    </r>
    <r>
      <rPr>
        <sz val="12"/>
        <color indexed="10"/>
        <rFont val="Times New Roman"/>
        <family val="1"/>
      </rPr>
      <t xml:space="preserve"> (неиспользованный остаток областных средств)</t>
    </r>
  </si>
  <si>
    <r>
      <t xml:space="preserve">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Субвенция на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r>
    <r>
      <rPr>
        <sz val="12"/>
        <color indexed="8"/>
        <rFont val="Times New Roman"/>
        <family val="1"/>
      </rPr>
      <t xml:space="preserve"> </t>
    </r>
    <r>
      <rPr>
        <sz val="12"/>
        <color indexed="10"/>
        <rFont val="Times New Roman"/>
        <family val="1"/>
      </rPr>
      <t>(отсутствие потребности вследствие завершения расчётов по состоянию на 01.01.2018)</t>
    </r>
  </si>
  <si>
    <r>
      <t xml:space="preserve">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0"/>
        <rFont val="Times New Roman"/>
        <family val="1"/>
      </rPr>
      <t xml:space="preserve">Субвенции на осуществление первичного воинского учета на территориях, где отсутствуют военные комиссариаты  </t>
    </r>
    <r>
      <rPr>
        <sz val="12"/>
        <color indexed="12"/>
        <rFont val="Times New Roman"/>
        <family val="1"/>
      </rPr>
      <t>(Администрацией г.Сельцо был осуществлен платеж,а банк произвел возврат платежного поручения в связи с отсутствием счета получателя)</t>
    </r>
  </si>
  <si>
    <r>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
</t>
    </r>
    <r>
      <rPr>
        <sz val="12"/>
        <color indexed="12"/>
        <rFont val="Times New Roman"/>
        <family val="1"/>
      </rPr>
      <t>Субсидии бюджетам субъектов Российской Федерации на осуществление ежемесячной денежной выплаты, назначенной в случае рождения третьего ребенка или последующих детей до достижения ребенком возраста трех лет</t>
    </r>
    <r>
      <rPr>
        <sz val="12"/>
        <color indexed="8"/>
        <rFont val="Times New Roman"/>
        <family val="1"/>
      </rPr>
      <t xml:space="preserve"> </t>
    </r>
    <r>
      <rPr>
        <sz val="12"/>
        <color indexed="10"/>
        <rFont val="Times New Roman"/>
        <family val="1"/>
      </rPr>
      <t>(возврат получателей пособий из отделения сбербанка)</t>
    </r>
  </si>
  <si>
    <r>
      <t xml:space="preserve">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
</t>
    </r>
    <r>
      <rPr>
        <sz val="12"/>
        <color indexed="12"/>
        <rFont val="Times New Roman"/>
        <family val="1"/>
      </rPr>
      <t xml:space="preserve">Субсидии на осуществление мероприятий по обеспечению жильем граждан Российской Федерации, проживающих в сельской местности; субсидии на поддержку экономически значимых региональных программ в области растениеводства </t>
    </r>
    <r>
      <rPr>
        <sz val="12"/>
        <color indexed="10"/>
        <rFont val="Times New Roman"/>
        <family val="1"/>
      </rPr>
      <t>(возврат дебиторской задолженности в федеральный бюджет, сложившейся в результате возврата бюджетополучателями субсидий в текущем году по решению суда)</t>
    </r>
  </si>
  <si>
    <r>
      <t xml:space="preserve">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
</t>
    </r>
    <r>
      <rPr>
        <sz val="12"/>
        <color indexed="12"/>
        <rFont val="Times New Roman"/>
        <family val="1"/>
      </rPr>
      <t>Субсидии на реализацию мероприятий федеральной целевой программы "Устойчивое развитие сельских территорий на 2014 - 2017 годы и на период до 2020 года"</t>
    </r>
    <r>
      <rPr>
        <sz val="12"/>
        <color indexed="8"/>
        <rFont val="Times New Roman"/>
        <family val="1"/>
      </rPr>
      <t xml:space="preserve"> </t>
    </r>
    <r>
      <rPr>
        <sz val="12"/>
        <color indexed="10"/>
        <rFont val="Times New Roman"/>
        <family val="1"/>
      </rPr>
      <t>(возврат дебиторской задолженности в федеральный бюджет, сложившейся в результате возврата бюджетополучателями субсидий в текущем году по решению суда)</t>
    </r>
  </si>
  <si>
    <r>
      <t xml:space="preserve">Возврат остатков субсидий на поддержку начинающих фермеров из бюджетов субъектов Российской Федерации
</t>
    </r>
    <r>
      <rPr>
        <sz val="12"/>
        <color indexed="12"/>
        <rFont val="Times New Roman"/>
        <family val="1"/>
      </rPr>
      <t>Субсидии на поддержку начинающих фермеров</t>
    </r>
    <r>
      <rPr>
        <sz val="12"/>
        <color indexed="10"/>
        <rFont val="Times New Roman"/>
        <family val="1"/>
      </rPr>
      <t xml:space="preserve"> (возврат дебиторской задолженности в федеральный бюджет, сложившейся в результате возврата бюджетополучателями субсидий в текущем году по решению суда)</t>
    </r>
  </si>
  <si>
    <t>2 19 25053 02 0000 151</t>
  </si>
  <si>
    <t>2 19 25018 02 0000 151</t>
  </si>
  <si>
    <t xml:space="preserve"> 2 19 90000 02 0000 151</t>
  </si>
  <si>
    <t>2 19 25084 02 0000 151</t>
  </si>
  <si>
    <r>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
</t>
    </r>
    <r>
      <rPr>
        <sz val="12"/>
        <color indexed="12"/>
        <rFont val="Times New Roman"/>
        <family val="1"/>
      </rPr>
      <t>Субсидии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t>
    </r>
    <r>
      <rPr>
        <sz val="12"/>
        <color indexed="8"/>
        <rFont val="Times New Roman"/>
        <family val="1"/>
      </rPr>
      <t xml:space="preserve">и </t>
    </r>
    <r>
      <rPr>
        <sz val="12"/>
        <color indexed="10"/>
        <rFont val="Times New Roman"/>
        <family val="1"/>
      </rPr>
      <t>(возврат субсидии на гос.поддержку малого и среднего предпринимательства, возмещенных получателями в добровольном и принудительном порядке)</t>
    </r>
  </si>
  <si>
    <r>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
</t>
    </r>
    <r>
      <rPr>
        <sz val="12"/>
        <color indexed="12"/>
        <rFont val="Times New Roman"/>
        <family val="1"/>
      </rPr>
      <t xml:space="preserve">Субсидии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 </t>
    </r>
    <r>
      <rPr>
        <sz val="12"/>
        <color indexed="10"/>
        <rFont val="Times New Roman"/>
        <family val="1"/>
      </rPr>
      <t>(возврат субсидии на гос.поддержку малого и среднего предпринимательства, возмещенных получателями в добровольном и принудительном порядке)</t>
    </r>
  </si>
  <si>
    <r>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
</t>
    </r>
    <r>
      <rPr>
        <sz val="12"/>
        <color indexed="12"/>
        <rFont val="Times New Roman"/>
        <family val="1"/>
      </rPr>
      <t xml:space="preserve">Субвенции на осуществление первичного воинского учета на территориях, где отсутствуют военные комиссариаты  </t>
    </r>
    <r>
      <rPr>
        <sz val="12"/>
        <color indexed="10"/>
        <rFont val="Times New Roman"/>
        <family val="1"/>
      </rPr>
      <t>(Администрацией г.Сельцо был осуществлен платеж,а банк произвел возврат платежного поручения в связи с отсутствием счета получателя)</t>
    </r>
  </si>
  <si>
    <r>
      <t xml:space="preserve">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r>
    <r>
      <rPr>
        <sz val="14"/>
        <color indexed="10"/>
        <rFont val="Times New Roman"/>
        <family val="1"/>
      </rPr>
      <t>распоряжение Правительства РФ от 03.03.2018 №368-р</t>
    </r>
  </si>
  <si>
    <t>2 02 45159 02 0000 151</t>
  </si>
  <si>
    <r>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r>
    <r>
      <rPr>
        <sz val="12"/>
        <color indexed="12"/>
        <rFont val="Times New Roman"/>
        <family val="1"/>
      </rPr>
      <t>Субсидии бюджетам муниципальных районов на софинансирование капитальных вложений в объекты муниципальной собственности</t>
    </r>
    <r>
      <rPr>
        <sz val="12"/>
        <color indexed="8"/>
        <rFont val="Times New Roman"/>
        <family val="1"/>
      </rPr>
      <t xml:space="preserve">
</t>
    </r>
    <r>
      <rPr>
        <sz val="12"/>
        <color indexed="10"/>
        <rFont val="Times New Roman"/>
        <family val="1"/>
      </rPr>
      <t>(неиспользованный остаток межбюджетных трансфертов прошлых лет)</t>
    </r>
  </si>
  <si>
    <r>
      <t xml:space="preserve">  Доходы бюджетов субъектов Российской Федерации от возврата бюджетными учреждениями остатков субсидий прошлых лет
</t>
    </r>
    <r>
      <rPr>
        <sz val="12"/>
        <color indexed="12"/>
        <rFont val="Times New Roman"/>
        <family val="1"/>
      </rPr>
      <t>Субсидии государственным учреждениям на построение сетей правительственной телефонной связи и автоматической телефонной станции органов государственной власти в здании постоянного представительства Правительства Брянской области при Правительстве Российской Федерации в г. Москве</t>
    </r>
    <r>
      <rPr>
        <sz val="12"/>
        <color indexed="10"/>
        <rFont val="Times New Roman"/>
        <family val="1"/>
      </rPr>
      <t xml:space="preserve"> (в связи со сложившейся экономией по результатам проведенных электронных торгов)</t>
    </r>
  </si>
  <si>
    <r>
      <t xml:space="preserve">  Доходы бюджетов субъектов Российской Федерации от возврата бюджетными учреждениями остатков субсидий прошлых лет
</t>
    </r>
    <r>
      <rPr>
        <sz val="12"/>
        <color indexed="12"/>
        <rFont val="Times New Roman"/>
        <family val="1"/>
      </rPr>
      <t xml:space="preserve">возврат субсидии государственным учреждениям на приобретение основных средств и увеличение стоимости материальных запасов </t>
    </r>
    <r>
      <rPr>
        <sz val="12"/>
        <color indexed="10"/>
        <rFont val="Times New Roman"/>
        <family val="1"/>
      </rPr>
      <t>(экономия по результатам торгов)</t>
    </r>
  </si>
  <si>
    <t>5629R</t>
  </si>
  <si>
    <r>
      <t xml:space="preserve">Субсидии бюджетам субъектов Российской Федерации на реализацию мероприятий по устойчивому развитию сельских территорий </t>
    </r>
    <r>
      <rPr>
        <i/>
        <sz val="12"/>
        <color indexed="36"/>
        <rFont val="Times New Roman"/>
        <family val="1"/>
      </rPr>
      <t xml:space="preserve">
</t>
    </r>
    <r>
      <rPr>
        <i/>
        <sz val="12"/>
        <color indexed="10"/>
        <rFont val="Times New Roman"/>
        <family val="1"/>
      </rPr>
      <t>Таблица 67 приложения 33
(Комплексное обустройство площадок под компактную жилищную застройку)</t>
    </r>
  </si>
  <si>
    <r>
      <t>Субсидии бюджетам субъектов Российской Федерации на реализацию мероприятий по устойчивому развитию сельских территорий</t>
    </r>
    <r>
      <rPr>
        <i/>
        <sz val="12"/>
        <color indexed="36"/>
        <rFont val="Times New Roman"/>
        <family val="1"/>
      </rPr>
      <t xml:space="preserve">
</t>
    </r>
    <r>
      <rPr>
        <i/>
        <sz val="12"/>
        <color indexed="10"/>
        <rFont val="Times New Roman"/>
        <family val="1"/>
      </rPr>
      <t>Таблица 67 приложения 33
(Развитие водоснабжения и развитие газификации)</t>
    </r>
  </si>
  <si>
    <r>
      <t>Субсидии бюджетам субъектов Российской Федерации на реализацию мероприятий по устойчивому развитию сельских территорий</t>
    </r>
    <r>
      <rPr>
        <i/>
        <sz val="12"/>
        <color indexed="36"/>
        <rFont val="Times New Roman"/>
        <family val="1"/>
      </rPr>
      <t xml:space="preserve">
</t>
    </r>
    <r>
      <rPr>
        <i/>
        <sz val="12"/>
        <color indexed="10"/>
        <rFont val="Times New Roman"/>
        <family val="1"/>
      </rPr>
      <t xml:space="preserve">Таблица 67 приложения 33, </t>
    </r>
    <r>
      <rPr>
        <b/>
        <i/>
        <sz val="12"/>
        <color indexed="10"/>
        <rFont val="Times New Roman"/>
        <family val="1"/>
      </rPr>
      <t>уведомление по возврату средств 2017 года строительство автомобильной дороги Урицкий-Козелкино Брянского района</t>
    </r>
    <r>
      <rPr>
        <i/>
        <sz val="12"/>
        <color indexed="10"/>
        <rFont val="Times New Roman"/>
        <family val="1"/>
      </rPr>
      <t xml:space="preserve">
(Комплексное обустройство населенных пунктов, расположенных в сельской местности, объектами социальной, инженерной инфраструктуры и автомобильными дорогами) </t>
    </r>
  </si>
  <si>
    <t>Акцизы по подакцизным товарам (продукции), производимым на территории Российской Федерации</t>
  </si>
  <si>
    <t xml:space="preserve"> 1 03 02140 01 0000 110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</si>
  <si>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</si>
  <si>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1 03 02142 01 0000 110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</si>
  <si>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</si>
  <si>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1 08 07280 01 0000 110</t>
  </si>
  <si>
    <t>1 03 02000 01 0000 110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</si>
  <si>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</si>
  <si>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
</t>
  </si>
  <si>
    <t>1 12 01041 01 0000 120</t>
  </si>
  <si>
    <t xml:space="preserve">Плата за размещение отходов производства </t>
  </si>
  <si>
    <r>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r>
    <r>
      <rPr>
        <sz val="14"/>
        <color indexed="12"/>
        <rFont val="Times New Roman"/>
        <family val="1"/>
      </rPr>
      <t xml:space="preserve">расходы федерального бюджета приоритетного проекта "Ипотека и арендное жилье"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r>
    <r>
      <rPr>
        <sz val="14"/>
        <color indexed="10"/>
        <rFont val="Times New Roman"/>
        <family val="1"/>
      </rPr>
      <t xml:space="preserve">Таблица 88 приложения 33 </t>
    </r>
  </si>
  <si>
    <r>
      <t xml:space="preserve">Субвенции бюджетам субъектов Российской Федерации на осуществление первичного воинского учета на территориях, где отсутствуют военные комиссариаты
</t>
    </r>
    <r>
      <rPr>
        <sz val="14"/>
        <color indexed="10"/>
        <rFont val="Times New Roman"/>
        <family val="1"/>
      </rPr>
      <t xml:space="preserve">Таблица 6 приложения 33 (в ред. от 03.07.2018 №193-ФЗ) </t>
    </r>
  </si>
  <si>
    <r>
      <t xml:space="preserve">Единая субвенция бюджетам субъектов Российской Федерации и бюджету г. Байконура
</t>
    </r>
    <r>
      <rPr>
        <sz val="14"/>
        <color indexed="10"/>
        <rFont val="Times New Roman"/>
        <family val="1"/>
      </rPr>
      <t xml:space="preserve">Таблица 4 приложения 33  (в ред. от 03.07.2018 №193-ФЗ) </t>
    </r>
  </si>
  <si>
    <r>
      <t xml:space="preserve">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r>
    <r>
      <rPr>
        <sz val="14"/>
        <color indexed="10"/>
        <rFont val="Times New Roman"/>
        <family val="1"/>
      </rPr>
      <t xml:space="preserve">Таблица 13 приложения 33  (в ред. от 03.07.2018 №193-ФЗ) </t>
    </r>
  </si>
  <si>
    <r>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r>
    <r>
      <rPr>
        <sz val="14"/>
        <color indexed="10"/>
        <rFont val="Times New Roman"/>
        <family val="1"/>
      </rPr>
      <t xml:space="preserve">Таблица 26 приложения 33  (в ред. от 03.07.2018 №193-ФЗ) </t>
    </r>
  </si>
  <si>
    <r>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t>
    </r>
    <r>
      <rPr>
        <sz val="14"/>
        <color indexed="10"/>
        <rFont val="Times New Roman"/>
        <family val="1"/>
      </rPr>
      <t xml:space="preserve">Таблица 89 приложения 33  (в ред. от 03.07.2018 №193-ФЗ) </t>
    </r>
  </si>
  <si>
    <r>
      <t xml:space="preserve">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  
</t>
    </r>
    <r>
      <rPr>
        <sz val="14"/>
        <color indexed="10"/>
        <rFont val="Times New Roman"/>
        <family val="1"/>
      </rPr>
      <t xml:space="preserve">Таблица 91 приложения 33  (в ред. от 03.07.2018 №193-ФЗ) </t>
    </r>
  </si>
  <si>
    <r>
      <t xml:space="preserve">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
</t>
    </r>
    <r>
      <rPr>
        <sz val="14"/>
        <color indexed="10"/>
        <rFont val="Times New Roman"/>
        <family val="1"/>
      </rPr>
      <t xml:space="preserve">Таблица 95 приложения 33  (в ред. от 03.07.2018 №193-ФЗ) </t>
    </r>
  </si>
  <si>
    <r>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r>
    <r>
      <rPr>
        <sz val="14"/>
        <color indexed="10"/>
        <rFont val="Times New Roman"/>
        <family val="1"/>
      </rPr>
      <t>Таблица 97 приложения 33</t>
    </r>
  </si>
  <si>
    <r>
      <t xml:space="preserve">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t>
    </r>
    <r>
      <rPr>
        <sz val="14"/>
        <color indexed="10"/>
        <rFont val="Times New Roman"/>
        <family val="1"/>
      </rPr>
      <t>Таблица 79 приложения 33</t>
    </r>
  </si>
  <si>
    <r>
      <t xml:space="preserve">Субсидии бюджетам субъектов Российской Федерации на поддержку творческой деятельности и техническое оснащение детских и кукольных театров
</t>
    </r>
    <r>
      <rPr>
        <sz val="14"/>
        <color indexed="10"/>
        <rFont val="Times New Roman"/>
        <family val="1"/>
      </rPr>
      <t xml:space="preserve">Таблица 99 приложения 33  (в ред. от 03.07.2018 №193-ФЗ) </t>
    </r>
  </si>
  <si>
    <t>5678F</t>
  </si>
  <si>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sz val="14"/>
        <color indexed="12"/>
        <rFont val="Times New Roman"/>
        <family val="1"/>
      </rPr>
      <t>(внедрение медицинских информационных
систем в медицинских организациях государственной и муниципальной систем
здравоохранения)</t>
    </r>
    <r>
      <rPr>
        <sz val="14"/>
        <rFont val="Times New Roman"/>
        <family val="1"/>
      </rPr>
      <t xml:space="preserve"> 
</t>
    </r>
    <r>
      <rPr>
        <sz val="14"/>
        <color indexed="10"/>
        <rFont val="Times New Roman"/>
        <family val="1"/>
      </rPr>
      <t>распоряжение Правительства РФ от 12.04.2018 №659-р</t>
    </r>
  </si>
  <si>
    <t>роспись</t>
  </si>
  <si>
    <t>5161F</t>
  </si>
  <si>
    <r>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r>
    <r>
      <rPr>
        <sz val="14"/>
        <color indexed="10"/>
        <rFont val="Times New Roman"/>
        <family val="1"/>
      </rPr>
      <t>распоряжение Правительства РФ от 15.03.2018 №428-р</t>
    </r>
  </si>
  <si>
    <t>5676F</t>
  </si>
  <si>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sz val="14"/>
        <color indexed="12"/>
        <rFont val="Times New Roman"/>
        <family val="1"/>
      </rPr>
      <t>(межбюджетные трансферты в целях развития паллиативной медицинской
помощи)</t>
    </r>
    <r>
      <rPr>
        <sz val="14"/>
        <rFont val="Times New Roman"/>
        <family val="1"/>
      </rPr>
      <t xml:space="preserve"> 
</t>
    </r>
    <r>
      <rPr>
        <sz val="14"/>
        <color indexed="10"/>
        <rFont val="Times New Roman"/>
        <family val="1"/>
      </rPr>
      <t>распоряжение Правительства РФ от 15.03.2018 №427-р</t>
    </r>
  </si>
  <si>
    <r>
      <t xml:space="preserve">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r>
    <r>
      <rPr>
        <sz val="14"/>
        <color indexed="10"/>
        <rFont val="Times New Roman"/>
        <family val="1"/>
      </rPr>
      <t xml:space="preserve">Таблица 7 приложения 33  (приказ ФМБА России от 05.02.2018 №22) </t>
    </r>
  </si>
  <si>
    <t>2 02 15213 02 0000 15</t>
  </si>
  <si>
    <t>2 02 35118 02 0000 151</t>
  </si>
  <si>
    <r>
      <t xml:space="preserve">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t>
    </r>
    <r>
      <rPr>
        <sz val="14"/>
        <color indexed="10"/>
        <rFont val="Times New Roman"/>
        <family val="1"/>
      </rPr>
      <t>(Распор. от 28.12.2017 № 2978-р; Распор. от 27.06.2018 №1291-р)</t>
    </r>
  </si>
  <si>
    <t>56740
(R674F)</t>
  </si>
  <si>
    <t>5541F
(R541F)</t>
  </si>
  <si>
    <r>
      <t xml:space="preserve">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t>
    </r>
    <r>
      <rPr>
        <sz val="14"/>
        <color indexed="10"/>
        <rFont val="Times New Roman"/>
        <family val="1"/>
      </rPr>
      <t xml:space="preserve">(Распор. от 04.08.2018 № 1620-р)
</t>
    </r>
  </si>
  <si>
    <r>
      <t xml:space="preserve">Дотации бюджетам субъектов Российской Федерации в целях стимулирования роста налогового потенциала по налогу на прибыль организаций
</t>
    </r>
    <r>
      <rPr>
        <sz val="14"/>
        <color indexed="10"/>
        <rFont val="Times New Roman"/>
        <family val="1"/>
      </rPr>
      <t>распоряжение Правительства РФ от 08.08.2018 №930-р</t>
    </r>
  </si>
  <si>
    <r>
      <t xml:space="preserve">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r>
    <r>
      <rPr>
        <sz val="14"/>
        <color indexed="10"/>
        <rFont val="Times New Roman"/>
        <family val="1"/>
      </rPr>
      <t xml:space="preserve">распоряжение Правительства РФ от 03.03.2018 №306-р
</t>
    </r>
    <r>
      <rPr>
        <sz val="14"/>
        <color indexed="12"/>
        <rFont val="Times New Roman"/>
        <family val="1"/>
      </rPr>
      <t>(справочно: распор. Правит. РФ от 01.09.2018 №1839-р изменения в первоначальные объемы для Брянской обл. не вносятся)</t>
    </r>
  </si>
  <si>
    <t>2 02 45136 02 0000 151</t>
  </si>
  <si>
    <r>
      <t xml:space="preserve">Межбюджетные трансферты, передаваемые бюджетам субъектов Российской Федерации на единовременные компенсационные выплаты медицинским работникам
</t>
    </r>
    <r>
      <rPr>
        <sz val="14"/>
        <color indexed="10"/>
        <rFont val="Times New Roman"/>
        <family val="1"/>
      </rPr>
      <t>(единовременная выплата по исполнительному листу, за периоды, истекшие до 1 января 2018 года)</t>
    </r>
  </si>
  <si>
    <t>уточненная сумма (октябрь)
 на 2018 год</t>
  </si>
  <si>
    <t>уточненная сумма
 (октябрь)
 на 2019 год</t>
  </si>
  <si>
    <t>уточненная сумма
(октябрь)
 на 2020 год</t>
  </si>
  <si>
    <t xml:space="preserve">
1 08 07141 01 0000 110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</si>
  <si>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</si>
  <si>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t>
  </si>
  <si>
    <t xml:space="preserve">1 13 01020 01 0000 130
</t>
  </si>
  <si>
    <t xml:space="preserve">1 13 01190 01 0000 130
</t>
  </si>
  <si>
    <t>Плата за предоставление информации из реестра дисквалифицированных лиц</t>
  </si>
  <si>
    <t>1 11 05026 00 0000 120</t>
  </si>
  <si>
    <t>1 11 05026 10 0000 120</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</si>
  <si>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</si>
  <si>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</si>
  <si>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</si>
  <si>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
</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</si>
  <si>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</si>
  <si>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</si>
  <si>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1 16 03000 00 0000 140
</t>
  </si>
  <si>
    <t>Денежные взыскания (штрафы) за нарушение законодательства о налогах и сборах</t>
  </si>
  <si>
    <t xml:space="preserve">1 16 03020 02 0000 140
</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</si>
  <si>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</si>
  <si>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</si>
  <si>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1 16 18000 00 0000 140</t>
  </si>
  <si>
    <t>Денежные взыскания (штрафы) за нарушение бюджетного законодательства (в части бюджетов субъектов Российской Федерации</t>
  </si>
  <si>
    <t>1 16 18020 02 0000 140</t>
  </si>
  <si>
    <t>1 16 23000 00 0000 140</t>
  </si>
  <si>
    <t>Доходы от возмещения ущерба при возникновении страховых случае</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</si>
  <si>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</si>
  <si>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1 16 23020 02 0000 140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</si>
  <si>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</si>
  <si>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</si>
  <si>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</si>
  <si>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1 16 23022 02 0000 140</t>
  </si>
  <si>
    <t>Денежные взыскания (штрафы) за нарушение условий договоров (соглашений) о предоставлении субсидий</t>
  </si>
  <si>
    <t>1 16 49000 00 0000 140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</si>
  <si>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</si>
  <si>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1 16 49020 02 0000 140</t>
  </si>
  <si>
    <t>1 17 00000 00 0000 000</t>
  </si>
  <si>
    <t>1 17 05000 00 0000 180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</si>
  <si>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</si>
  <si>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</si>
  <si>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2 02 25198 02 0000 151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</si>
  <si>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</si>
  <si>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Сумма на 2018 год
(с учетом изменений)
</t>
  </si>
  <si>
    <t xml:space="preserve">
 Сумма на 2018 год (закон от 18.12.2017 № 101-З, первоначальный)
</t>
  </si>
  <si>
    <t>Сведения о внесенных в течение 2018 года изменениях, внесенных в закон Брянской области "Об областном бюджете на 2018 год и на плановый период 2019 и 2020 годы", в части доходов на 2018 год</t>
  </si>
  <si>
    <t>1 17 05000 02 0000 180</t>
  </si>
  <si>
    <t>2 02 15213 02 0000 151</t>
  </si>
  <si>
    <t>2 02 25021 02 0000 151</t>
  </si>
  <si>
    <t>2 02 25497 02 0000 151</t>
  </si>
  <si>
    <t>2 02 25541 02 0000 151</t>
  </si>
  <si>
    <t>2 02 45433 02 0000 151</t>
  </si>
  <si>
    <t xml:space="preserve">
'2 02 15001 02 0000 151
</t>
  </si>
  <si>
    <t>Дотации бюджетам субъектов Российской Федерации на выравнивание бюджетной обеспеченности</t>
  </si>
  <si>
    <t xml:space="preserve">Дотации бюджетам субъектов Российской Федерации на поддержку мер по обеспечению сбалансированности бюджетов </t>
  </si>
  <si>
    <t>Дотации бюджетам субъектов Российской Федерации в целях стимулирования роста налогового потенциала по налогу на прибыль организаций</t>
  </si>
  <si>
    <r>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r>
  </si>
  <si>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 </t>
  </si>
  <si>
    <t xml:space="preserve">Субсидии бюджетам субъектов Российской Федерации на подготовку управленческих кадров для организаций народного хозяйства Российской Федерации </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</si>
  <si>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</si>
  <si>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</si>
  <si>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</si>
  <si>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</si>
  <si>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</si>
  <si>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</si>
  <si>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r>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r>
    <r>
      <rPr>
        <sz val="14"/>
        <color indexed="10"/>
        <rFont val="Times New Roman"/>
        <family val="1"/>
      </rPr>
      <t xml:space="preserve"> </t>
    </r>
  </si>
  <si>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</si>
  <si>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</si>
  <si>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r>
      <t>Субсидии бюджетам субъектов Российской Федерации на реализацию мероприятий по обеспечению жильем молодых семей</t>
    </r>
  </si>
  <si>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</si>
  <si>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</si>
  <si>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</si>
  <si>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</si>
  <si>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</si>
  <si>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r>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r>
    <r>
      <rPr>
        <sz val="14"/>
        <color indexed="10"/>
        <rFont val="Times New Roman"/>
        <family val="1"/>
      </rPr>
      <t xml:space="preserve">
</t>
    </r>
  </si>
  <si>
    <r>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r>
    <r>
      <rPr>
        <sz val="14"/>
        <rFont val="Times New Roman"/>
        <family val="1"/>
      </rPr>
      <t xml:space="preserve">
</t>
    </r>
  </si>
  <si>
    <t xml:space="preserve">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t>
  </si>
  <si>
    <t xml:space="preserve">Субсидии бюджетам субъектов Российской Федерации на повышение продуктивности в молочном скотоводстве  </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</si>
  <si>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</si>
  <si>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  </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</si>
  <si>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</si>
  <si>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Субсидии бюджетам субъектов Российской Федерации на поддержку обустройства мест массового отдыха населения (городских парков) </t>
  </si>
  <si>
    <r>
      <t>Субсидии бюджетам субъектов Российской Федерации на реализацию мероприятий по устойчивому развитию сельских территорий</t>
    </r>
  </si>
  <si>
    <t>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</si>
  <si>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</si>
  <si>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</si>
  <si>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</si>
  <si>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</si>
  <si>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</si>
  <si>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</si>
  <si>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</si>
  <si>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</si>
  <si>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</si>
  <si>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</si>
  <si>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</si>
  <si>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</si>
  <si>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</si>
  <si>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</si>
  <si>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</si>
  <si>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</si>
  <si>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</si>
  <si>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</si>
  <si>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</si>
  <si>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</si>
  <si>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</si>
  <si>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</si>
  <si>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</si>
  <si>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</si>
  <si>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</si>
  <si>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r>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r>
  </si>
  <si>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</si>
  <si>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</si>
  <si>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</si>
  <si>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</si>
  <si>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2 03 000000 00 00 0000</t>
  </si>
  <si>
    <t>2 07 02000 02 0000 180</t>
  </si>
  <si>
    <t>Закон от 03.05.2018 № 37-З</t>
  </si>
  <si>
    <t>Закон от 02.07.2018 № 48-З</t>
  </si>
  <si>
    <t>Закон от 25.10.2018 № 81-З</t>
  </si>
  <si>
    <t>Закон от 21.12.2018 № 109-З</t>
  </si>
  <si>
    <t>ИТОГО:</t>
  </si>
  <si>
    <t>1 05 03000 01 0000 110</t>
  </si>
  <si>
    <t>Единый сельскохозяйственный налог</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</si>
  <si>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</si>
  <si>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Прочие неналоговые доходы бюджетов субъектов Российской Федерации</t>
  </si>
  <si>
    <t>ПРОЧИЕ НЕНАЛОГОВЫЕ ДОХОДЫ</t>
  </si>
  <si>
    <t>Прочие неналоговые доходы</t>
  </si>
  <si>
    <t>(в рублях)</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</si>
</sst>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s>
  <fonts count="76">
    <font>
      <sz val="11"/>
      <color theme="1"/>
      <name val="Calibri"/>
      <family val="2"/>
    </font>
    <font>
      <sz val="11"/>
      <color indexed="8"/>
      <name val="Calibri"/>
      <family val="2"/>
    </font>
    <font>
      <b/>
      <sz val="14"/>
      <name val="Times New Roman"/>
      <family val="1"/>
    </font>
    <font>
      <sz val="14"/>
      <name val="Times New Roman"/>
      <family val="1"/>
    </font>
    <font>
      <sz val="11"/>
      <name val="Times New Roman"/>
      <family val="1"/>
    </font>
    <font>
      <sz val="10"/>
      <name val="Helv"/>
      <family val="0"/>
    </font>
    <font>
      <i/>
      <sz val="11"/>
      <name val="Times New Roman"/>
      <family val="1"/>
    </font>
    <font>
      <b/>
      <i/>
      <sz val="11"/>
      <name val="Times New Roman"/>
      <family val="1"/>
    </font>
    <font>
      <sz val="14"/>
      <color indexed="10"/>
      <name val="Times New Roman"/>
      <family val="1"/>
    </font>
    <font>
      <sz val="10"/>
      <name val="Arial"/>
      <family val="2"/>
    </font>
    <font>
      <sz val="9"/>
      <name val="Tahoma"/>
      <family val="2"/>
    </font>
    <font>
      <b/>
      <sz val="9"/>
      <name val="Tahoma"/>
      <family val="2"/>
    </font>
    <font>
      <sz val="14"/>
      <color indexed="36"/>
      <name val="Times New Roman"/>
      <family val="1"/>
    </font>
    <font>
      <i/>
      <sz val="11"/>
      <color indexed="10"/>
      <name val="Times New Roman"/>
      <family val="1"/>
    </font>
    <font>
      <sz val="14"/>
      <color indexed="12"/>
      <name val="Times New Roman"/>
      <family val="1"/>
    </font>
    <font>
      <sz val="12"/>
      <color indexed="8"/>
      <name val="Times New Roman"/>
      <family val="1"/>
    </font>
    <font>
      <sz val="12"/>
      <color indexed="12"/>
      <name val="Times New Roman"/>
      <family val="1"/>
    </font>
    <font>
      <sz val="12"/>
      <color indexed="10"/>
      <name val="Times New Roman"/>
      <family val="1"/>
    </font>
    <font>
      <i/>
      <sz val="11"/>
      <color indexed="12"/>
      <name val="Times New Roman"/>
      <family val="1"/>
    </font>
    <font>
      <sz val="12"/>
      <name val="Times New Roman"/>
      <family val="1"/>
    </font>
    <font>
      <i/>
      <sz val="12"/>
      <name val="Times New Roman"/>
      <family val="1"/>
    </font>
    <font>
      <i/>
      <sz val="12"/>
      <color indexed="36"/>
      <name val="Times New Roman"/>
      <family val="1"/>
    </font>
    <font>
      <i/>
      <sz val="12"/>
      <color indexed="10"/>
      <name val="Times New Roman"/>
      <family val="1"/>
    </font>
    <font>
      <b/>
      <i/>
      <sz val="12"/>
      <color indexed="10"/>
      <name val="Times New Roman"/>
      <family val="1"/>
    </font>
    <font>
      <b/>
      <sz val="16"/>
      <name val="Times New Roman"/>
      <family val="1"/>
    </font>
    <font>
      <sz val="11"/>
      <color indexed="9"/>
      <name val="Calibri"/>
      <family val="2"/>
    </font>
    <font>
      <sz val="8"/>
      <color indexed="8"/>
      <name val="Arial"/>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54"/>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u val="single"/>
      <sz val="11"/>
      <color indexed="1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12"/>
      <name val="Times New Roman"/>
      <family val="1"/>
    </font>
    <font>
      <sz val="8"/>
      <name val="Tahoma"/>
      <family val="2"/>
    </font>
    <font>
      <sz val="11"/>
      <color theme="0"/>
      <name val="Calibri"/>
      <family val="2"/>
    </font>
    <font>
      <sz val="8"/>
      <color rgb="FF000000"/>
      <name val="Arial"/>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CC"/>
      <name val="Times New Roman"/>
      <family val="1"/>
    </font>
    <font>
      <i/>
      <sz val="11"/>
      <color rgb="FFFF0000"/>
      <name val="Times New Roman"/>
      <family val="1"/>
    </font>
    <font>
      <sz val="14"/>
      <color theme="1"/>
      <name val="Times New Roman"/>
      <family val="1"/>
    </font>
    <font>
      <b/>
      <sz val="14"/>
      <color rgb="FF0000CC"/>
      <name val="Times New Roman"/>
      <family val="1"/>
    </font>
    <font>
      <sz val="12"/>
      <color rgb="FF000000"/>
      <name val="Times New Roman"/>
      <family val="1"/>
    </font>
    <font>
      <sz val="14"/>
      <color rgb="FF0000FF"/>
      <name val="Times New Roman"/>
      <family val="1"/>
    </font>
    <font>
      <sz val="12"/>
      <color theme="1"/>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69696"/>
        <bgColor indexed="64"/>
      </patternFill>
    </fill>
    <fill>
      <patternFill patternType="solid">
        <fgColor rgb="FFB2B2B2"/>
        <bgColor indexed="64"/>
      </patternFill>
    </fill>
    <fill>
      <patternFill patternType="solid">
        <fgColor rgb="FFDDDDDD"/>
        <bgColor indexed="64"/>
      </patternFill>
    </fill>
    <fill>
      <patternFill patternType="solid">
        <fgColor rgb="FFABABAB"/>
        <bgColor indexed="64"/>
      </patternFill>
    </fill>
    <fill>
      <patternFill patternType="solid">
        <fgColor rgb="FF80808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66CCFF"/>
        <bgColor indexed="64"/>
      </patternFill>
    </fill>
    <fill>
      <patternFill patternType="solid">
        <fgColor rgb="FFFF0000"/>
        <bgColor indexed="64"/>
      </patternFill>
    </fill>
  </fills>
  <borders count="20">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style="thin"/>
      <bottom>
        <color indexed="63"/>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right>
        <color indexed="63"/>
      </right>
      <top style="thin"/>
      <bottom style="thin"/>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lignment horizontal="left" wrapText="1" indent="2"/>
      <protection/>
    </xf>
    <xf numFmtId="49" fontId="50" fillId="0" borderId="2">
      <alignment horizontal="left" vertical="top" wrapText="1"/>
      <protection/>
    </xf>
    <xf numFmtId="4" fontId="50" fillId="0" borderId="2">
      <alignment horizontal="right" vertical="top" shrinkToFit="1"/>
      <protection/>
    </xf>
    <xf numFmtId="49" fontId="49" fillId="0" borderId="2">
      <alignment horizontal="center"/>
      <protection/>
    </xf>
    <xf numFmtId="4" fontId="49" fillId="0" borderId="3">
      <alignment horizontal="righ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1" fillId="26" borderId="4" applyNumberFormat="0" applyAlignment="0" applyProtection="0"/>
    <xf numFmtId="0" fontId="52" fillId="27" borderId="5" applyNumberFormat="0" applyAlignment="0" applyProtection="0"/>
    <xf numFmtId="0" fontId="53" fillId="27" borderId="4"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28" borderId="10"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9"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11" applyNumberFormat="0" applyFont="0" applyAlignment="0" applyProtection="0"/>
    <xf numFmtId="9" fontId="0" fillId="0" borderId="0" applyFont="0" applyFill="0" applyBorder="0" applyAlignment="0" applyProtection="0"/>
    <xf numFmtId="0" fontId="65" fillId="0" borderId="12" applyNumberFormat="0" applyFill="0" applyAlignment="0" applyProtection="0"/>
    <xf numFmtId="0" fontId="5" fillId="0" borderId="0">
      <alignment/>
      <protection/>
    </xf>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67" fillId="32" borderId="0" applyNumberFormat="0" applyBorder="0" applyAlignment="0" applyProtection="0"/>
  </cellStyleXfs>
  <cellXfs count="148">
    <xf numFmtId="0" fontId="0" fillId="0" borderId="0" xfId="0" applyFont="1" applyAlignment="1">
      <alignment/>
    </xf>
    <xf numFmtId="0" fontId="3" fillId="33" borderId="0" xfId="0" applyFont="1" applyFill="1" applyAlignment="1">
      <alignment vertical="center"/>
    </xf>
    <xf numFmtId="0" fontId="68" fillId="33" borderId="0" xfId="0" applyFont="1" applyFill="1" applyAlignment="1">
      <alignment vertical="center"/>
    </xf>
    <xf numFmtId="0" fontId="3" fillId="33" borderId="0" xfId="0" applyFont="1" applyFill="1" applyBorder="1" applyAlignment="1">
      <alignment horizontal="center" vertical="center"/>
    </xf>
    <xf numFmtId="0" fontId="2" fillId="0" borderId="13" xfId="0" applyNumberFormat="1" applyFont="1" applyFill="1" applyBorder="1" applyAlignment="1" quotePrefix="1">
      <alignment horizontal="center" vertical="center" shrinkToFit="1"/>
    </xf>
    <xf numFmtId="0" fontId="2" fillId="0" borderId="13" xfId="0" applyNumberFormat="1" applyFont="1" applyFill="1" applyBorder="1" applyAlignment="1">
      <alignment horizontal="left" vertical="center" wrapText="1"/>
    </xf>
    <xf numFmtId="4" fontId="2" fillId="33" borderId="13" xfId="0" applyNumberFormat="1" applyFont="1" applyFill="1" applyBorder="1" applyAlignment="1">
      <alignment horizontal="center" vertical="center" shrinkToFit="1"/>
    </xf>
    <xf numFmtId="0" fontId="2" fillId="34" borderId="13" xfId="0" applyNumberFormat="1" applyFont="1" applyFill="1" applyBorder="1" applyAlignment="1" quotePrefix="1">
      <alignment horizontal="center" vertical="center" shrinkToFit="1"/>
    </xf>
    <xf numFmtId="0" fontId="2" fillId="34" borderId="13" xfId="0" applyNumberFormat="1" applyFont="1" applyFill="1" applyBorder="1" applyAlignment="1">
      <alignment horizontal="left" vertical="center" wrapText="1"/>
    </xf>
    <xf numFmtId="4" fontId="2" fillId="34" borderId="13" xfId="0" applyNumberFormat="1" applyFont="1" applyFill="1" applyBorder="1" applyAlignment="1">
      <alignment horizontal="center" vertical="center" shrinkToFit="1"/>
    </xf>
    <xf numFmtId="0" fontId="3" fillId="35" borderId="13" xfId="0" applyNumberFormat="1" applyFont="1" applyFill="1" applyBorder="1" applyAlignment="1" quotePrefix="1">
      <alignment horizontal="center" vertical="center" shrinkToFit="1"/>
    </xf>
    <xf numFmtId="0" fontId="3" fillId="35" borderId="13" xfId="0" applyNumberFormat="1" applyFont="1" applyFill="1" applyBorder="1" applyAlignment="1">
      <alignment horizontal="left" vertical="center" wrapText="1"/>
    </xf>
    <xf numFmtId="4" fontId="3" fillId="35" borderId="13" xfId="0" applyNumberFormat="1" applyFont="1" applyFill="1" applyBorder="1" applyAlignment="1">
      <alignment horizontal="center" vertical="center" shrinkToFit="1"/>
    </xf>
    <xf numFmtId="0" fontId="3" fillId="36" borderId="13" xfId="0" applyNumberFormat="1" applyFont="1" applyFill="1" applyBorder="1" applyAlignment="1" quotePrefix="1">
      <alignment horizontal="center" vertical="center" shrinkToFit="1"/>
    </xf>
    <xf numFmtId="0" fontId="3" fillId="36" borderId="13" xfId="0" applyNumberFormat="1" applyFont="1" applyFill="1" applyBorder="1" applyAlignment="1">
      <alignment horizontal="left" vertical="center" wrapText="1"/>
    </xf>
    <xf numFmtId="4" fontId="3" fillId="36" borderId="13" xfId="0" applyNumberFormat="1" applyFont="1" applyFill="1" applyBorder="1" applyAlignment="1">
      <alignment horizontal="center" vertical="center" shrinkToFit="1"/>
    </xf>
    <xf numFmtId="0" fontId="3" fillId="33" borderId="13" xfId="0" applyNumberFormat="1" applyFont="1" applyFill="1" applyBorder="1" applyAlignment="1" quotePrefix="1">
      <alignment horizontal="center" vertical="center" shrinkToFit="1"/>
    </xf>
    <xf numFmtId="0" fontId="68" fillId="33" borderId="13" xfId="0" applyNumberFormat="1" applyFont="1" applyFill="1" applyBorder="1" applyAlignment="1" quotePrefix="1">
      <alignment horizontal="center" vertical="center" shrinkToFit="1"/>
    </xf>
    <xf numFmtId="0" fontId="3" fillId="33" borderId="13" xfId="0" applyNumberFormat="1" applyFont="1" applyFill="1" applyBorder="1" applyAlignment="1">
      <alignment horizontal="left" vertical="center" wrapText="1"/>
    </xf>
    <xf numFmtId="4" fontId="3" fillId="33" borderId="13" xfId="0" applyNumberFormat="1" applyFont="1" applyFill="1" applyBorder="1" applyAlignment="1">
      <alignment horizontal="center" vertical="center" shrinkToFit="1"/>
    </xf>
    <xf numFmtId="0" fontId="3" fillId="35" borderId="13" xfId="0" applyNumberFormat="1" applyFont="1" applyFill="1" applyBorder="1" applyAlignment="1">
      <alignment vertical="center" wrapText="1"/>
    </xf>
    <xf numFmtId="0" fontId="3" fillId="36" borderId="13" xfId="0" applyNumberFormat="1" applyFont="1" applyFill="1" applyBorder="1" applyAlignment="1">
      <alignment vertical="center" wrapText="1"/>
    </xf>
    <xf numFmtId="0" fontId="3" fillId="33" borderId="13" xfId="0" applyNumberFormat="1" applyFont="1" applyFill="1" applyBorder="1" applyAlignment="1">
      <alignment vertical="center" wrapText="1"/>
    </xf>
    <xf numFmtId="4" fontId="3" fillId="0" borderId="13" xfId="0" applyNumberFormat="1" applyFont="1" applyFill="1" applyBorder="1" applyAlignment="1">
      <alignment horizontal="center" vertical="center" shrinkToFit="1"/>
    </xf>
    <xf numFmtId="4" fontId="3" fillId="33" borderId="13" xfId="0" applyNumberFormat="1" applyFont="1" applyFill="1" applyBorder="1" applyAlignment="1">
      <alignment horizontal="center" vertical="center" wrapText="1"/>
    </xf>
    <xf numFmtId="0" fontId="3" fillId="0" borderId="13" xfId="0" applyNumberFormat="1" applyFont="1" applyFill="1" applyBorder="1" applyAlignment="1" quotePrefix="1">
      <alignment horizontal="center" vertical="center" shrinkToFit="1"/>
    </xf>
    <xf numFmtId="0" fontId="2" fillId="37" borderId="13" xfId="0" applyNumberFormat="1" applyFont="1" applyFill="1" applyBorder="1" applyAlignment="1">
      <alignment horizontal="left" vertical="center" wrapText="1"/>
    </xf>
    <xf numFmtId="4" fontId="2" fillId="37" borderId="13" xfId="0" applyNumberFormat="1" applyFont="1" applyFill="1" applyBorder="1" applyAlignment="1">
      <alignment horizontal="center" vertical="center" shrinkToFit="1"/>
    </xf>
    <xf numFmtId="0" fontId="2" fillId="38" borderId="13" xfId="0" applyFont="1" applyFill="1" applyBorder="1" applyAlignment="1">
      <alignment horizontal="left" vertical="center" wrapText="1"/>
    </xf>
    <xf numFmtId="4" fontId="2" fillId="38" borderId="13" xfId="0" applyNumberFormat="1" applyFont="1" applyFill="1" applyBorder="1" applyAlignment="1">
      <alignment horizontal="center" vertical="center" shrinkToFit="1"/>
    </xf>
    <xf numFmtId="0" fontId="2" fillId="39" borderId="13" xfId="0" applyNumberFormat="1" applyFont="1" applyFill="1" applyBorder="1" applyAlignment="1">
      <alignment horizontal="left" vertical="center" wrapText="1"/>
    </xf>
    <xf numFmtId="4" fontId="2" fillId="39" borderId="13" xfId="0" applyNumberFormat="1" applyFont="1" applyFill="1" applyBorder="1" applyAlignment="1">
      <alignment horizontal="center" vertical="center" shrinkToFit="1"/>
    </xf>
    <xf numFmtId="4" fontId="3" fillId="0" borderId="13" xfId="0" applyNumberFormat="1" applyFont="1" applyFill="1" applyBorder="1" applyAlignment="1">
      <alignment horizontal="center" vertical="center" wrapText="1" shrinkToFit="1"/>
    </xf>
    <xf numFmtId="4" fontId="3" fillId="33" borderId="13" xfId="0" applyNumberFormat="1" applyFont="1" applyFill="1" applyBorder="1" applyAlignment="1">
      <alignment horizontal="center" vertical="center" wrapText="1" shrinkToFit="1"/>
    </xf>
    <xf numFmtId="4" fontId="2" fillId="39" borderId="13" xfId="0" applyNumberFormat="1" applyFont="1" applyFill="1" applyBorder="1" applyAlignment="1">
      <alignment horizontal="center" vertical="center" wrapText="1"/>
    </xf>
    <xf numFmtId="4" fontId="2" fillId="40" borderId="13" xfId="0" applyNumberFormat="1" applyFont="1" applyFill="1" applyBorder="1" applyAlignment="1">
      <alignment horizontal="center" vertical="center" shrinkToFit="1"/>
    </xf>
    <xf numFmtId="0" fontId="3" fillId="33" borderId="0" xfId="0" applyFont="1" applyFill="1" applyAlignment="1">
      <alignment vertical="center" wrapText="1"/>
    </xf>
    <xf numFmtId="4" fontId="3" fillId="33" borderId="0" xfId="0" applyNumberFormat="1" applyFont="1" applyFill="1" applyAlignment="1">
      <alignment horizontal="center" vertical="center" wrapText="1"/>
    </xf>
    <xf numFmtId="4" fontId="3" fillId="33" borderId="0" xfId="0" applyNumberFormat="1" applyFont="1" applyFill="1" applyAlignment="1">
      <alignment horizontal="center" vertical="center"/>
    </xf>
    <xf numFmtId="0" fontId="2" fillId="39" borderId="13" xfId="0" applyNumberFormat="1" applyFont="1" applyFill="1" applyBorder="1" applyAlignment="1" quotePrefix="1">
      <alignment horizontal="center" vertical="center" shrinkToFit="1"/>
    </xf>
    <xf numFmtId="0" fontId="2" fillId="37" borderId="13" xfId="0" applyNumberFormat="1" applyFont="1" applyFill="1" applyBorder="1" applyAlignment="1" quotePrefix="1">
      <alignment horizontal="center" vertical="center" shrinkToFit="1"/>
    </xf>
    <xf numFmtId="0" fontId="2" fillId="38" borderId="13" xfId="0" applyFont="1" applyFill="1" applyBorder="1" applyAlignment="1">
      <alignment horizontal="center" vertical="center" shrinkToFit="1"/>
    </xf>
    <xf numFmtId="0" fontId="3" fillId="33" borderId="13" xfId="0" applyNumberFormat="1" applyFont="1" applyFill="1" applyBorder="1" applyAlignment="1" quotePrefix="1">
      <alignment horizontal="center" vertical="center" wrapText="1" shrinkToFit="1"/>
    </xf>
    <xf numFmtId="0" fontId="3" fillId="40" borderId="0" xfId="0" applyFont="1" applyFill="1" applyAlignment="1">
      <alignment vertical="center"/>
    </xf>
    <xf numFmtId="0" fontId="6" fillId="41" borderId="13" xfId="0" applyNumberFormat="1" applyFont="1" applyFill="1" applyBorder="1" applyAlignment="1" quotePrefix="1">
      <alignment horizontal="center" vertical="center" shrinkToFit="1"/>
    </xf>
    <xf numFmtId="0" fontId="6" fillId="41" borderId="13" xfId="0" applyNumberFormat="1" applyFont="1" applyFill="1" applyBorder="1" applyAlignment="1">
      <alignment horizontal="left" vertical="center" wrapText="1"/>
    </xf>
    <xf numFmtId="4" fontId="6" fillId="41" borderId="13" xfId="0" applyNumberFormat="1" applyFont="1" applyFill="1" applyBorder="1" applyAlignment="1">
      <alignment horizontal="center" vertical="center" shrinkToFit="1"/>
    </xf>
    <xf numFmtId="0" fontId="4" fillId="33" borderId="0" xfId="0" applyFont="1" applyFill="1" applyAlignment="1">
      <alignment vertical="center"/>
    </xf>
    <xf numFmtId="4" fontId="6" fillId="41" borderId="13" xfId="0" applyNumberFormat="1" applyFont="1" applyFill="1" applyBorder="1" applyAlignment="1" quotePrefix="1">
      <alignment horizontal="center" vertical="center" shrinkToFit="1"/>
    </xf>
    <xf numFmtId="4" fontId="6" fillId="41" borderId="13" xfId="0" applyNumberFormat="1" applyFont="1" applyFill="1" applyBorder="1" applyAlignment="1">
      <alignment horizontal="center" vertical="center" wrapText="1"/>
    </xf>
    <xf numFmtId="4" fontId="3" fillId="36" borderId="13" xfId="0" applyNumberFormat="1" applyFont="1" applyFill="1" applyBorder="1" applyAlignment="1">
      <alignment horizontal="center" vertical="center" wrapText="1"/>
    </xf>
    <xf numFmtId="16" fontId="3" fillId="33" borderId="0" xfId="0" applyNumberFormat="1" applyFont="1" applyFill="1" applyAlignment="1">
      <alignment vertical="center"/>
    </xf>
    <xf numFmtId="0" fontId="3" fillId="42" borderId="0" xfId="0" applyFont="1" applyFill="1" applyAlignment="1">
      <alignment vertical="center"/>
    </xf>
    <xf numFmtId="0" fontId="3" fillId="33" borderId="14" xfId="0" applyFont="1" applyFill="1" applyBorder="1" applyAlignment="1">
      <alignment horizontal="center" vertical="center"/>
    </xf>
    <xf numFmtId="0" fontId="68" fillId="0" borderId="13" xfId="0" applyNumberFormat="1" applyFont="1" applyFill="1" applyBorder="1" applyAlignment="1" quotePrefix="1">
      <alignment horizontal="center" vertical="center" wrapText="1" shrinkToFit="1"/>
    </xf>
    <xf numFmtId="0" fontId="3" fillId="33" borderId="13" xfId="0" applyNumberFormat="1" applyFont="1" applyFill="1" applyBorder="1" applyAlignment="1">
      <alignment horizontal="left" vertical="top" wrapText="1"/>
    </xf>
    <xf numFmtId="0" fontId="3" fillId="0" borderId="13" xfId="0" applyNumberFormat="1" applyFont="1" applyFill="1" applyBorder="1" applyAlignment="1">
      <alignment horizontal="left" vertical="center" wrapText="1"/>
    </xf>
    <xf numFmtId="0" fontId="6" fillId="5" borderId="13" xfId="0" applyNumberFormat="1" applyFont="1" applyFill="1" applyBorder="1" applyAlignment="1" quotePrefix="1">
      <alignment horizontal="center" vertical="center" shrinkToFit="1"/>
    </xf>
    <xf numFmtId="0" fontId="6" fillId="5" borderId="13" xfId="0" applyNumberFormat="1" applyFont="1" applyFill="1" applyBorder="1" applyAlignment="1">
      <alignment horizontal="left" vertical="center" wrapText="1"/>
    </xf>
    <xf numFmtId="4" fontId="6" fillId="5" borderId="13" xfId="0" applyNumberFormat="1" applyFont="1" applyFill="1" applyBorder="1" applyAlignment="1">
      <alignment horizontal="center" vertical="center" shrinkToFit="1"/>
    </xf>
    <xf numFmtId="0" fontId="6" fillId="5" borderId="13" xfId="0" applyNumberFormat="1" applyFont="1" applyFill="1" applyBorder="1" applyAlignment="1" quotePrefix="1">
      <alignment horizontal="center" vertical="center" wrapText="1" shrinkToFit="1"/>
    </xf>
    <xf numFmtId="0" fontId="7" fillId="5" borderId="13" xfId="0" applyNumberFormat="1" applyFont="1" applyFill="1" applyBorder="1" applyAlignment="1" quotePrefix="1">
      <alignment horizontal="center" vertical="center" shrinkToFit="1"/>
    </xf>
    <xf numFmtId="4" fontId="6" fillId="5" borderId="13" xfId="0" applyNumberFormat="1" applyFont="1" applyFill="1" applyBorder="1" applyAlignment="1" quotePrefix="1">
      <alignment horizontal="center" vertical="center" shrinkToFit="1"/>
    </xf>
    <xf numFmtId="0" fontId="3" fillId="33" borderId="0" xfId="0" applyFont="1" applyFill="1" applyBorder="1" applyAlignment="1">
      <alignment horizontal="right" vertical="center"/>
    </xf>
    <xf numFmtId="0" fontId="3" fillId="5" borderId="13" xfId="0" applyNumberFormat="1" applyFont="1" applyFill="1" applyBorder="1" applyAlignment="1" quotePrefix="1">
      <alignment horizontal="center" vertical="center" shrinkToFit="1"/>
    </xf>
    <xf numFmtId="4" fontId="69" fillId="5" borderId="13" xfId="0" applyNumberFormat="1" applyFont="1" applyFill="1" applyBorder="1" applyAlignment="1">
      <alignment horizontal="center" vertical="center" shrinkToFit="1"/>
    </xf>
    <xf numFmtId="0" fontId="70" fillId="0" borderId="0" xfId="0" applyFont="1" applyAlignment="1">
      <alignment wrapText="1"/>
    </xf>
    <xf numFmtId="0" fontId="2" fillId="33" borderId="0" xfId="0" applyFont="1" applyFill="1" applyAlignment="1">
      <alignment horizontal="center" vertical="center" wrapText="1"/>
    </xf>
    <xf numFmtId="4" fontId="6" fillId="33" borderId="13" xfId="0" applyNumberFormat="1" applyFont="1" applyFill="1" applyBorder="1" applyAlignment="1">
      <alignment horizontal="center" vertical="center" shrinkToFit="1"/>
    </xf>
    <xf numFmtId="0" fontId="71" fillId="39" borderId="13" xfId="0" applyNumberFormat="1" applyFont="1" applyFill="1" applyBorder="1" applyAlignment="1" quotePrefix="1">
      <alignment horizontal="center" vertical="center" wrapText="1" shrinkToFit="1"/>
    </xf>
    <xf numFmtId="4" fontId="3" fillId="39" borderId="13" xfId="0" applyNumberFormat="1" applyFont="1" applyFill="1" applyBorder="1" applyAlignment="1">
      <alignment horizontal="center" vertical="center" wrapText="1" shrinkToFit="1"/>
    </xf>
    <xf numFmtId="0" fontId="2" fillId="33" borderId="13" xfId="0" applyNumberFormat="1" applyFont="1" applyFill="1" applyBorder="1" applyAlignment="1" quotePrefix="1">
      <alignment horizontal="center" vertical="center" wrapText="1" shrinkToFit="1"/>
    </xf>
    <xf numFmtId="0" fontId="71" fillId="39" borderId="13" xfId="0" applyNumberFormat="1" applyFont="1" applyFill="1" applyBorder="1" applyAlignment="1" quotePrefix="1">
      <alignment horizontal="center" vertical="center" shrinkToFit="1"/>
    </xf>
    <xf numFmtId="0" fontId="71" fillId="39" borderId="13" xfId="0" applyFont="1" applyFill="1" applyBorder="1" applyAlignment="1">
      <alignment horizontal="center" vertical="top" shrinkToFit="1"/>
    </xf>
    <xf numFmtId="0" fontId="2" fillId="39" borderId="13" xfId="0" applyFont="1" applyFill="1" applyBorder="1" applyAlignment="1">
      <alignment horizontal="left" vertical="top" wrapText="1"/>
    </xf>
    <xf numFmtId="0" fontId="68" fillId="33" borderId="13" xfId="0" applyFont="1" applyFill="1" applyBorder="1" applyAlignment="1">
      <alignment horizontal="center" vertical="top" shrinkToFit="1"/>
    </xf>
    <xf numFmtId="0" fontId="2" fillId="33" borderId="13" xfId="0" applyNumberFormat="1" applyFont="1" applyFill="1" applyBorder="1" applyAlignment="1" quotePrefix="1">
      <alignment horizontal="center" vertical="center" shrinkToFit="1"/>
    </xf>
    <xf numFmtId="0" fontId="71" fillId="33" borderId="13" xfId="0" applyFont="1" applyFill="1" applyBorder="1" applyAlignment="1">
      <alignment horizontal="center" vertical="top" shrinkToFit="1"/>
    </xf>
    <xf numFmtId="49" fontId="72" fillId="33" borderId="2" xfId="34" applyFont="1" applyFill="1" applyProtection="1">
      <alignment horizontal="left" vertical="top" wrapText="1"/>
      <protection/>
    </xf>
    <xf numFmtId="49" fontId="72" fillId="33" borderId="0" xfId="34" applyFont="1" applyFill="1" applyBorder="1" applyProtection="1">
      <alignment horizontal="left" vertical="top" wrapText="1"/>
      <protection/>
    </xf>
    <xf numFmtId="49" fontId="15" fillId="33" borderId="0" xfId="34" applyFont="1" applyFill="1" applyBorder="1" applyProtection="1">
      <alignment horizontal="left" vertical="top" wrapText="1"/>
      <protection/>
    </xf>
    <xf numFmtId="4" fontId="72" fillId="33" borderId="0" xfId="35" applyFont="1" applyFill="1" applyBorder="1" applyAlignment="1" applyProtection="1">
      <alignment horizontal="left" vertical="top" wrapText="1" shrinkToFit="1"/>
      <protection/>
    </xf>
    <xf numFmtId="0" fontId="3" fillId="33" borderId="15" xfId="0" applyNumberFormat="1" applyFont="1" applyFill="1" applyBorder="1" applyAlignment="1" quotePrefix="1">
      <alignment horizontal="center" vertical="center" shrinkToFit="1"/>
    </xf>
    <xf numFmtId="0" fontId="3" fillId="0" borderId="15" xfId="0" applyNumberFormat="1" applyFont="1" applyFill="1" applyBorder="1" applyAlignment="1" quotePrefix="1">
      <alignment horizontal="center" vertical="center" shrinkToFit="1"/>
    </xf>
    <xf numFmtId="49" fontId="72" fillId="0" borderId="2" xfId="34" applyFont="1" applyFill="1" applyProtection="1">
      <alignment horizontal="left" vertical="top" wrapText="1"/>
      <protection/>
    </xf>
    <xf numFmtId="0" fontId="73" fillId="0" borderId="13" xfId="0" applyNumberFormat="1" applyFont="1" applyFill="1" applyBorder="1" applyAlignment="1" quotePrefix="1">
      <alignment horizontal="center" vertical="center" shrinkToFit="1"/>
    </xf>
    <xf numFmtId="0" fontId="73" fillId="0" borderId="13" xfId="0" applyNumberFormat="1" applyFont="1" applyFill="1" applyBorder="1" applyAlignment="1" quotePrefix="1">
      <alignment horizontal="center" vertical="center" wrapText="1" shrinkToFit="1"/>
    </xf>
    <xf numFmtId="49" fontId="72" fillId="0" borderId="16" xfId="34" applyFont="1" applyBorder="1" applyAlignment="1" applyProtection="1">
      <alignment vertical="top" wrapText="1"/>
      <protection/>
    </xf>
    <xf numFmtId="49" fontId="72" fillId="0" borderId="16" xfId="34" applyFont="1" applyBorder="1" applyAlignment="1" applyProtection="1">
      <alignment horizontal="left" vertical="top" wrapText="1"/>
      <protection/>
    </xf>
    <xf numFmtId="49" fontId="72" fillId="0" borderId="17" xfId="34" applyFont="1" applyBorder="1" applyAlignment="1" applyProtection="1">
      <alignment horizontal="left" vertical="top" wrapText="1"/>
      <protection/>
    </xf>
    <xf numFmtId="49" fontId="72" fillId="0" borderId="13" xfId="34" applyFont="1" applyBorder="1" applyAlignment="1" applyProtection="1">
      <alignment horizontal="left" vertical="top" wrapText="1"/>
      <protection/>
    </xf>
    <xf numFmtId="4" fontId="3" fillId="0" borderId="18" xfId="0" applyNumberFormat="1" applyFont="1" applyFill="1" applyBorder="1" applyAlignment="1">
      <alignment horizontal="center" vertical="center" wrapText="1" shrinkToFit="1"/>
    </xf>
    <xf numFmtId="0" fontId="19" fillId="33" borderId="0" xfId="0" applyNumberFormat="1" applyFont="1" applyFill="1" applyBorder="1" applyAlignment="1" quotePrefix="1">
      <alignment vertical="top" shrinkToFit="1"/>
    </xf>
    <xf numFmtId="49" fontId="72" fillId="0" borderId="0" xfId="34" applyFont="1" applyBorder="1" applyAlignment="1" applyProtection="1">
      <alignment vertical="top" wrapText="1"/>
      <protection/>
    </xf>
    <xf numFmtId="4" fontId="19" fillId="0" borderId="0" xfId="0" applyNumberFormat="1" applyFont="1" applyFill="1" applyBorder="1" applyAlignment="1">
      <alignment vertical="top" wrapText="1"/>
    </xf>
    <xf numFmtId="4" fontId="2" fillId="33" borderId="0" xfId="0" applyNumberFormat="1" applyFont="1" applyFill="1" applyBorder="1" applyAlignment="1">
      <alignment horizontal="center" vertical="center" wrapText="1"/>
    </xf>
    <xf numFmtId="4" fontId="72" fillId="0" borderId="0" xfId="35" applyFont="1" applyFill="1" applyBorder="1" applyProtection="1">
      <alignment horizontal="right" vertical="top" shrinkToFit="1"/>
      <protection/>
    </xf>
    <xf numFmtId="0" fontId="19" fillId="33" borderId="0" xfId="0" applyNumberFormat="1" applyFont="1" applyFill="1" applyBorder="1" applyAlignment="1" quotePrefix="1">
      <alignment horizontal="left" vertical="top" shrinkToFit="1"/>
    </xf>
    <xf numFmtId="49" fontId="72" fillId="0" borderId="0" xfId="34" applyFont="1" applyBorder="1" applyAlignment="1" applyProtection="1">
      <alignment horizontal="left" vertical="top" wrapText="1"/>
      <protection/>
    </xf>
    <xf numFmtId="4" fontId="19" fillId="0" borderId="0" xfId="0" applyNumberFormat="1" applyFont="1" applyFill="1" applyBorder="1" applyAlignment="1">
      <alignment horizontal="left" vertical="top" wrapText="1"/>
    </xf>
    <xf numFmtId="4" fontId="72" fillId="11" borderId="0" xfId="35" applyFont="1" applyFill="1" applyBorder="1" applyProtection="1">
      <alignment horizontal="right" vertical="top" shrinkToFit="1"/>
      <protection/>
    </xf>
    <xf numFmtId="4" fontId="72" fillId="11" borderId="0" xfId="35" applyFont="1" applyFill="1" applyBorder="1" applyAlignment="1" applyProtection="1">
      <alignment horizontal="right" vertical="top" shrinkToFit="1"/>
      <protection/>
    </xf>
    <xf numFmtId="176" fontId="3" fillId="33" borderId="13" xfId="0" applyNumberFormat="1" applyFont="1" applyFill="1" applyBorder="1" applyAlignment="1">
      <alignment horizontal="center" vertical="center" wrapText="1" shrinkToFit="1"/>
    </xf>
    <xf numFmtId="176" fontId="3" fillId="0" borderId="13" xfId="0" applyNumberFormat="1" applyFont="1" applyFill="1" applyBorder="1" applyAlignment="1">
      <alignment horizontal="center" vertical="center" wrapText="1" shrinkToFit="1"/>
    </xf>
    <xf numFmtId="176" fontId="73" fillId="33" borderId="13" xfId="0" applyNumberFormat="1" applyFont="1" applyFill="1" applyBorder="1" applyAlignment="1">
      <alignment horizontal="center" vertical="center" wrapText="1" shrinkToFit="1"/>
    </xf>
    <xf numFmtId="0" fontId="3" fillId="33" borderId="0" xfId="0" applyNumberFormat="1" applyFont="1" applyFill="1" applyBorder="1" applyAlignment="1" quotePrefix="1">
      <alignment horizontal="center" vertical="center" shrinkToFit="1"/>
    </xf>
    <xf numFmtId="49" fontId="74" fillId="33" borderId="0" xfId="34" applyFont="1" applyFill="1" applyBorder="1" applyProtection="1">
      <alignment horizontal="left" vertical="top" wrapText="1"/>
      <protection/>
    </xf>
    <xf numFmtId="4" fontId="74" fillId="0" borderId="0" xfId="0" applyNumberFormat="1" applyFont="1" applyFill="1" applyBorder="1" applyAlignment="1">
      <alignment horizontal="right" wrapText="1"/>
    </xf>
    <xf numFmtId="0" fontId="3" fillId="33" borderId="0" xfId="0" applyFont="1" applyFill="1" applyBorder="1" applyAlignment="1">
      <alignment vertical="center"/>
    </xf>
    <xf numFmtId="0" fontId="19" fillId="33" borderId="13" xfId="0" applyNumberFormat="1" applyFont="1" applyFill="1" applyBorder="1" applyAlignment="1" quotePrefix="1">
      <alignment horizontal="center" vertical="center" shrinkToFit="1"/>
    </xf>
    <xf numFmtId="0" fontId="20" fillId="5" borderId="13" xfId="0" applyNumberFormat="1" applyFont="1" applyFill="1" applyBorder="1" applyAlignment="1" quotePrefix="1">
      <alignment horizontal="center" vertical="center" wrapText="1" shrinkToFit="1"/>
    </xf>
    <xf numFmtId="0" fontId="20" fillId="5" borderId="13" xfId="0" applyNumberFormat="1" applyFont="1" applyFill="1" applyBorder="1" applyAlignment="1" quotePrefix="1">
      <alignment horizontal="center" vertical="center" shrinkToFit="1"/>
    </xf>
    <xf numFmtId="0" fontId="20" fillId="5" borderId="13" xfId="0" applyNumberFormat="1" applyFont="1" applyFill="1" applyBorder="1" applyAlignment="1">
      <alignment horizontal="left" vertical="center" wrapText="1"/>
    </xf>
    <xf numFmtId="4" fontId="20" fillId="5" borderId="13" xfId="0" applyNumberFormat="1" applyFont="1" applyFill="1" applyBorder="1" applyAlignment="1">
      <alignment horizontal="center" vertical="center" shrinkToFit="1"/>
    </xf>
    <xf numFmtId="0" fontId="19" fillId="33" borderId="0" xfId="0" applyFont="1" applyFill="1" applyAlignment="1">
      <alignment vertical="center"/>
    </xf>
    <xf numFmtId="0" fontId="2" fillId="41" borderId="13" xfId="0" applyNumberFormat="1" applyFont="1" applyFill="1" applyBorder="1" applyAlignment="1" quotePrefix="1">
      <alignment horizontal="center" vertical="center" shrinkToFit="1"/>
    </xf>
    <xf numFmtId="0" fontId="3" fillId="41" borderId="13" xfId="0" applyNumberFormat="1" applyFont="1" applyFill="1" applyBorder="1" applyAlignment="1" quotePrefix="1">
      <alignment horizontal="center" vertical="center" shrinkToFit="1"/>
    </xf>
    <xf numFmtId="0" fontId="3" fillId="41" borderId="13" xfId="0" applyNumberFormat="1" applyFont="1" applyFill="1" applyBorder="1" applyAlignment="1">
      <alignment horizontal="left" vertical="center" wrapText="1"/>
    </xf>
    <xf numFmtId="4" fontId="3" fillId="41" borderId="13" xfId="0" applyNumberFormat="1" applyFont="1" applyFill="1" applyBorder="1" applyAlignment="1">
      <alignment horizontal="center" vertical="center" shrinkToFit="1"/>
    </xf>
    <xf numFmtId="0" fontId="3" fillId="39" borderId="13" xfId="0" applyNumberFormat="1" applyFont="1" applyFill="1" applyBorder="1" applyAlignment="1" quotePrefix="1">
      <alignment horizontal="center" vertical="center" shrinkToFit="1"/>
    </xf>
    <xf numFmtId="0" fontId="3" fillId="39" borderId="13" xfId="0" applyNumberFormat="1" applyFont="1" applyFill="1" applyBorder="1" applyAlignment="1">
      <alignment horizontal="left" vertical="center" wrapText="1"/>
    </xf>
    <xf numFmtId="4" fontId="3" fillId="39" borderId="13" xfId="0" applyNumberFormat="1" applyFont="1" applyFill="1" applyBorder="1" applyAlignment="1">
      <alignment horizontal="center" vertical="center" shrinkToFit="1"/>
    </xf>
    <xf numFmtId="0" fontId="70" fillId="33" borderId="13" xfId="0" applyNumberFormat="1" applyFont="1" applyFill="1" applyBorder="1" applyAlignment="1" quotePrefix="1">
      <alignment horizontal="center" vertical="center" shrinkToFit="1"/>
    </xf>
    <xf numFmtId="0" fontId="2" fillId="33" borderId="13" xfId="0" applyFont="1" applyFill="1" applyBorder="1" applyAlignment="1">
      <alignment horizontal="center" vertical="center" shrinkToFit="1"/>
    </xf>
    <xf numFmtId="0" fontId="6" fillId="33" borderId="13" xfId="0" applyNumberFormat="1" applyFont="1" applyFill="1" applyBorder="1" applyAlignment="1" quotePrefix="1">
      <alignment horizontal="center" vertical="center" wrapText="1" shrinkToFit="1"/>
    </xf>
    <xf numFmtId="0" fontId="6" fillId="33" borderId="13" xfId="0" applyNumberFormat="1" applyFont="1" applyFill="1" applyBorder="1" applyAlignment="1" quotePrefix="1">
      <alignment horizontal="center" vertical="center" shrinkToFit="1"/>
    </xf>
    <xf numFmtId="0" fontId="2" fillId="33" borderId="13" xfId="0" applyFont="1" applyFill="1" applyBorder="1" applyAlignment="1">
      <alignment horizontal="center" vertical="top" shrinkToFit="1"/>
    </xf>
    <xf numFmtId="4" fontId="3" fillId="10" borderId="13" xfId="0" applyNumberFormat="1" applyFont="1" applyFill="1" applyBorder="1" applyAlignment="1">
      <alignment horizontal="center" vertical="center" wrapText="1" shrinkToFit="1"/>
    </xf>
    <xf numFmtId="4" fontId="3" fillId="10" borderId="13" xfId="0" applyNumberFormat="1" applyFont="1" applyFill="1" applyBorder="1" applyAlignment="1">
      <alignment horizontal="center" vertical="center" shrinkToFit="1"/>
    </xf>
    <xf numFmtId="4" fontId="3" fillId="33" borderId="0" xfId="0" applyNumberFormat="1" applyFont="1" applyFill="1" applyAlignment="1">
      <alignment vertical="center"/>
    </xf>
    <xf numFmtId="0" fontId="70" fillId="33" borderId="13" xfId="0" applyNumberFormat="1" applyFont="1" applyFill="1" applyBorder="1" applyAlignment="1" quotePrefix="1">
      <alignment horizontal="center" vertical="center" wrapText="1" shrinkToFit="1"/>
    </xf>
    <xf numFmtId="4" fontId="3" fillId="43" borderId="13" xfId="0" applyNumberFormat="1" applyFont="1" applyFill="1" applyBorder="1" applyAlignment="1">
      <alignment horizontal="center" vertical="center" shrinkToFit="1"/>
    </xf>
    <xf numFmtId="4" fontId="3" fillId="10" borderId="13" xfId="0" applyNumberFormat="1" applyFont="1" applyFill="1" applyBorder="1" applyAlignment="1">
      <alignment horizontal="center" vertical="center" wrapText="1"/>
    </xf>
    <xf numFmtId="0" fontId="3" fillId="39" borderId="0" xfId="0" applyFont="1" applyFill="1" applyAlignment="1">
      <alignment vertical="center"/>
    </xf>
    <xf numFmtId="0" fontId="3" fillId="0" borderId="13" xfId="0" applyNumberFormat="1" applyFont="1" applyFill="1" applyBorder="1" applyAlignment="1" quotePrefix="1">
      <alignment horizontal="center" vertical="center" wrapText="1" shrinkToFit="1"/>
    </xf>
    <xf numFmtId="0" fontId="3" fillId="41" borderId="13" xfId="0" applyNumberFormat="1" applyFont="1" applyFill="1" applyBorder="1" applyAlignment="1" quotePrefix="1">
      <alignment horizontal="center" vertical="center" wrapText="1" shrinkToFit="1"/>
    </xf>
    <xf numFmtId="0" fontId="2" fillId="39" borderId="13" xfId="0" applyFont="1" applyFill="1" applyBorder="1" applyAlignment="1">
      <alignment horizontal="left" vertical="center" wrapText="1"/>
    </xf>
    <xf numFmtId="0" fontId="73" fillId="33" borderId="13" xfId="0" applyNumberFormat="1" applyFont="1" applyFill="1" applyBorder="1" applyAlignment="1" quotePrefix="1">
      <alignment horizontal="center" vertical="center" wrapText="1" shrinkToFit="1"/>
    </xf>
    <xf numFmtId="4" fontId="3" fillId="0" borderId="0" xfId="0" applyNumberFormat="1" applyFont="1" applyFill="1" applyBorder="1" applyAlignment="1">
      <alignment horizontal="center" vertical="center" shrinkToFit="1"/>
    </xf>
    <xf numFmtId="0" fontId="3" fillId="39" borderId="13"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33" borderId="0" xfId="0" applyFont="1" applyFill="1" applyAlignment="1">
      <alignment horizontal="center" vertical="center" wrapText="1"/>
    </xf>
    <xf numFmtId="49" fontId="3" fillId="33" borderId="13" xfId="0" applyNumberFormat="1" applyFont="1" applyFill="1" applyBorder="1" applyAlignment="1">
      <alignment horizontal="center" vertical="center" wrapText="1" shrinkToFit="1"/>
    </xf>
    <xf numFmtId="4" fontId="3" fillId="0" borderId="15"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2" fillId="40" borderId="13" xfId="0" applyFont="1" applyFill="1" applyBorder="1" applyAlignment="1">
      <alignment horizontal="left" vertical="center" wrapText="1"/>
    </xf>
    <xf numFmtId="0" fontId="24" fillId="33" borderId="0" xfId="0" applyFont="1" applyFill="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xl38" xfId="34"/>
    <cellStyle name="xl42" xfId="35"/>
    <cellStyle name="xl52" xfId="36"/>
    <cellStyle name="xl58"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Финансовый 2"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00CC"/>
    <pageSetUpPr fitToPage="1"/>
  </sheetPr>
  <dimension ref="A1:V314"/>
  <sheetViews>
    <sheetView showGridLines="0" view="pageBreakPreview" zoomScale="51" zoomScaleNormal="70" zoomScaleSheetLayoutView="51" zoomScalePageLayoutView="0" workbookViewId="0" topLeftCell="A1">
      <pane ySplit="4" topLeftCell="A5" activePane="bottomLeft" state="frozen"/>
      <selection pane="topLeft" activeCell="A1" sqref="A1"/>
      <selection pane="bottomLeft" activeCell="J31" sqref="J31"/>
    </sheetView>
  </sheetViews>
  <sheetFormatPr defaultColWidth="9.140625" defaultRowHeight="15"/>
  <cols>
    <col min="1" max="1" width="13.7109375" style="1" customWidth="1"/>
    <col min="2" max="2" width="12.8515625" style="2" customWidth="1"/>
    <col min="3" max="3" width="32.140625" style="2" customWidth="1"/>
    <col min="4" max="4" width="63.140625" style="1" customWidth="1"/>
    <col min="5" max="5" width="23.140625" style="38" customWidth="1"/>
    <col min="6" max="6" width="23.140625" style="38" bestFit="1" customWidth="1"/>
    <col min="7" max="13" width="23.140625" style="38" customWidth="1"/>
    <col min="14" max="14" width="51.140625" style="1" customWidth="1"/>
    <col min="15" max="16" width="37.7109375" style="1" customWidth="1"/>
    <col min="17" max="17" width="9.140625" style="1" customWidth="1"/>
    <col min="18" max="18" width="46.57421875" style="1" customWidth="1"/>
    <col min="19" max="16384" width="9.140625" style="1" customWidth="1"/>
  </cols>
  <sheetData>
    <row r="1" spans="2:13" ht="24.75" customHeight="1">
      <c r="B1" s="1"/>
      <c r="C1" s="141" t="s">
        <v>399</v>
      </c>
      <c r="D1" s="141"/>
      <c r="E1" s="141"/>
      <c r="F1" s="141"/>
      <c r="G1" s="141"/>
      <c r="H1" s="141"/>
      <c r="I1" s="67"/>
      <c r="J1" s="67"/>
      <c r="K1" s="1"/>
      <c r="L1" s="1"/>
      <c r="M1" s="1"/>
    </row>
    <row r="2" spans="5:13" ht="18.75">
      <c r="E2" s="3"/>
      <c r="F2" s="3"/>
      <c r="G2" s="3"/>
      <c r="H2" s="3"/>
      <c r="I2" s="3"/>
      <c r="J2" s="3"/>
      <c r="K2" s="63"/>
      <c r="L2" s="63"/>
      <c r="M2" s="63" t="s">
        <v>0</v>
      </c>
    </row>
    <row r="3" spans="1:13" ht="66" customHeight="1">
      <c r="A3" s="142" t="s">
        <v>298</v>
      </c>
      <c r="B3" s="142" t="s">
        <v>318</v>
      </c>
      <c r="C3" s="142" t="s">
        <v>1</v>
      </c>
      <c r="D3" s="142" t="s">
        <v>2</v>
      </c>
      <c r="E3" s="143" t="s">
        <v>488</v>
      </c>
      <c r="F3" s="143" t="s">
        <v>402</v>
      </c>
      <c r="G3" s="143" t="s">
        <v>564</v>
      </c>
      <c r="H3" s="145" t="s">
        <v>489</v>
      </c>
      <c r="I3" s="143" t="s">
        <v>402</v>
      </c>
      <c r="J3" s="145" t="s">
        <v>565</v>
      </c>
      <c r="K3" s="145" t="s">
        <v>490</v>
      </c>
      <c r="L3" s="143" t="s">
        <v>402</v>
      </c>
      <c r="M3" s="145" t="s">
        <v>566</v>
      </c>
    </row>
    <row r="4" spans="1:13" ht="13.5" customHeight="1">
      <c r="A4" s="142"/>
      <c r="B4" s="142"/>
      <c r="C4" s="142"/>
      <c r="D4" s="142"/>
      <c r="E4" s="144"/>
      <c r="F4" s="144"/>
      <c r="G4" s="144"/>
      <c r="H4" s="145"/>
      <c r="I4" s="144"/>
      <c r="J4" s="145"/>
      <c r="K4" s="145"/>
      <c r="L4" s="144"/>
      <c r="M4" s="145"/>
    </row>
    <row r="5" spans="1:13" ht="30.75" customHeight="1">
      <c r="A5" s="76"/>
      <c r="B5" s="4"/>
      <c r="C5" s="4" t="s">
        <v>3</v>
      </c>
      <c r="D5" s="5" t="s">
        <v>4</v>
      </c>
      <c r="E5" s="6">
        <f aca="true" t="shared" si="0" ref="E5:M5">E6+E16+E26+E35+E43+E49+E74+E91+E107+E121+E130+E133</f>
        <v>26116319519</v>
      </c>
      <c r="F5" s="6">
        <f t="shared" si="0"/>
        <v>847390741</v>
      </c>
      <c r="G5" s="6">
        <f t="shared" si="0"/>
        <v>26963710260</v>
      </c>
      <c r="H5" s="6">
        <f t="shared" si="0"/>
        <v>26758473000</v>
      </c>
      <c r="I5" s="6">
        <f t="shared" si="0"/>
        <v>0</v>
      </c>
      <c r="J5" s="6">
        <f t="shared" si="0"/>
        <v>26758473000</v>
      </c>
      <c r="K5" s="6">
        <f t="shared" si="0"/>
        <v>27489572000</v>
      </c>
      <c r="L5" s="6">
        <f t="shared" si="0"/>
        <v>0</v>
      </c>
      <c r="M5" s="6">
        <f t="shared" si="0"/>
        <v>27489572000</v>
      </c>
    </row>
    <row r="6" spans="1:13" ht="23.25" customHeight="1">
      <c r="A6" s="76"/>
      <c r="B6" s="7"/>
      <c r="C6" s="7" t="s">
        <v>5</v>
      </c>
      <c r="D6" s="8" t="s">
        <v>6</v>
      </c>
      <c r="E6" s="9">
        <f>E7+E11</f>
        <v>15379022119</v>
      </c>
      <c r="F6" s="9">
        <f>F7+F11</f>
        <v>663176881</v>
      </c>
      <c r="G6" s="9">
        <f>G7+G11</f>
        <v>16042199000</v>
      </c>
      <c r="H6" s="9">
        <f aca="true" t="shared" si="1" ref="H6:M6">H7+H11</f>
        <v>15790786000</v>
      </c>
      <c r="I6" s="9">
        <f t="shared" si="1"/>
        <v>0</v>
      </c>
      <c r="J6" s="9">
        <f t="shared" si="1"/>
        <v>15790786000</v>
      </c>
      <c r="K6" s="9">
        <f t="shared" si="1"/>
        <v>16248518000</v>
      </c>
      <c r="L6" s="9">
        <f t="shared" si="1"/>
        <v>0</v>
      </c>
      <c r="M6" s="9">
        <f t="shared" si="1"/>
        <v>16248518000</v>
      </c>
    </row>
    <row r="7" spans="1:13" ht="27" customHeight="1">
      <c r="A7" s="16"/>
      <c r="B7" s="10"/>
      <c r="C7" s="10" t="s">
        <v>7</v>
      </c>
      <c r="D7" s="11" t="s">
        <v>8</v>
      </c>
      <c r="E7" s="12">
        <f aca="true" t="shared" si="2" ref="E7:M7">E8</f>
        <v>5644044000</v>
      </c>
      <c r="F7" s="12">
        <f t="shared" si="2"/>
        <v>308474000</v>
      </c>
      <c r="G7" s="12">
        <f t="shared" si="2"/>
        <v>5952518000</v>
      </c>
      <c r="H7" s="12">
        <f t="shared" si="2"/>
        <v>5743054000</v>
      </c>
      <c r="I7" s="12">
        <f t="shared" si="2"/>
        <v>0</v>
      </c>
      <c r="J7" s="12">
        <f t="shared" si="2"/>
        <v>5743054000</v>
      </c>
      <c r="K7" s="12">
        <f t="shared" si="2"/>
        <v>5967804000</v>
      </c>
      <c r="L7" s="12">
        <f t="shared" si="2"/>
        <v>0</v>
      </c>
      <c r="M7" s="12">
        <f t="shared" si="2"/>
        <v>5967804000</v>
      </c>
    </row>
    <row r="8" spans="1:13" ht="63.75" customHeight="1">
      <c r="A8" s="16"/>
      <c r="B8" s="13"/>
      <c r="C8" s="13" t="s">
        <v>9</v>
      </c>
      <c r="D8" s="14" t="s">
        <v>10</v>
      </c>
      <c r="E8" s="15">
        <f>E9+E10</f>
        <v>5644044000</v>
      </c>
      <c r="F8" s="15">
        <f>F9+F10</f>
        <v>308474000</v>
      </c>
      <c r="G8" s="15">
        <f>G9+G10</f>
        <v>5952518000</v>
      </c>
      <c r="H8" s="15">
        <f aca="true" t="shared" si="3" ref="H8:M8">H9+H10</f>
        <v>5743054000</v>
      </c>
      <c r="I8" s="15">
        <f t="shared" si="3"/>
        <v>0</v>
      </c>
      <c r="J8" s="15">
        <f t="shared" si="3"/>
        <v>5743054000</v>
      </c>
      <c r="K8" s="15">
        <f t="shared" si="3"/>
        <v>5967804000</v>
      </c>
      <c r="L8" s="15">
        <f t="shared" si="3"/>
        <v>0</v>
      </c>
      <c r="M8" s="15">
        <f t="shared" si="3"/>
        <v>5967804000</v>
      </c>
    </row>
    <row r="9" spans="1:13" ht="80.25" customHeight="1">
      <c r="A9" s="16"/>
      <c r="B9" s="16"/>
      <c r="C9" s="16" t="s">
        <v>11</v>
      </c>
      <c r="D9" s="18" t="s">
        <v>12</v>
      </c>
      <c r="E9" s="19">
        <v>4644044000</v>
      </c>
      <c r="F9" s="128">
        <f>G9-E9</f>
        <v>611491000</v>
      </c>
      <c r="G9" s="19">
        <f>4346044000+48000000+250000000+611491000</f>
        <v>5255535000</v>
      </c>
      <c r="H9" s="19">
        <v>4643054000</v>
      </c>
      <c r="I9" s="19">
        <f>J9-H9</f>
        <v>0</v>
      </c>
      <c r="J9" s="19">
        <f>4443054000+200000000</f>
        <v>4643054000</v>
      </c>
      <c r="K9" s="19">
        <v>4767804000</v>
      </c>
      <c r="L9" s="19">
        <f>M9-K9</f>
        <v>0</v>
      </c>
      <c r="M9" s="19">
        <f>4567804000+200000000</f>
        <v>4767804000</v>
      </c>
    </row>
    <row r="10" spans="1:13" ht="63" customHeight="1">
      <c r="A10" s="16"/>
      <c r="B10" s="16"/>
      <c r="C10" s="16" t="s">
        <v>13</v>
      </c>
      <c r="D10" s="18" t="s">
        <v>14</v>
      </c>
      <c r="E10" s="19">
        <v>1000000000</v>
      </c>
      <c r="F10" s="128">
        <f>G10-E10</f>
        <v>-303017000</v>
      </c>
      <c r="G10" s="19">
        <f>1000000000+(-303017000)</f>
        <v>696983000</v>
      </c>
      <c r="H10" s="19">
        <v>1100000000</v>
      </c>
      <c r="I10" s="19">
        <f>J10-H10</f>
        <v>0</v>
      </c>
      <c r="J10" s="19">
        <f>1100000000</f>
        <v>1100000000</v>
      </c>
      <c r="K10" s="19">
        <v>1200000000</v>
      </c>
      <c r="L10" s="19">
        <f>M10-K10</f>
        <v>0</v>
      </c>
      <c r="M10" s="19">
        <f>1200000000</f>
        <v>1200000000</v>
      </c>
    </row>
    <row r="11" spans="1:13" ht="25.5" customHeight="1">
      <c r="A11" s="16"/>
      <c r="B11" s="10"/>
      <c r="C11" s="10" t="s">
        <v>15</v>
      </c>
      <c r="D11" s="11" t="s">
        <v>16</v>
      </c>
      <c r="E11" s="12">
        <f>E12+E13+E14+E15</f>
        <v>9734978119</v>
      </c>
      <c r="F11" s="12">
        <f>F12+F13+F14+F15</f>
        <v>354702881</v>
      </c>
      <c r="G11" s="12">
        <f>G12+G13+G14+G15</f>
        <v>10089681000</v>
      </c>
      <c r="H11" s="12">
        <f aca="true" t="shared" si="4" ref="H11:M11">H12+H13+H14+H15</f>
        <v>10047732000</v>
      </c>
      <c r="I11" s="12">
        <f t="shared" si="4"/>
        <v>0</v>
      </c>
      <c r="J11" s="12">
        <f t="shared" si="4"/>
        <v>10047732000</v>
      </c>
      <c r="K11" s="12">
        <f t="shared" si="4"/>
        <v>10280714000</v>
      </c>
      <c r="L11" s="12">
        <f t="shared" si="4"/>
        <v>0</v>
      </c>
      <c r="M11" s="12">
        <f t="shared" si="4"/>
        <v>10280714000</v>
      </c>
    </row>
    <row r="12" spans="1:13" ht="118.5" customHeight="1">
      <c r="A12" s="16"/>
      <c r="B12" s="16"/>
      <c r="C12" s="16" t="s">
        <v>17</v>
      </c>
      <c r="D12" s="18" t="s">
        <v>18</v>
      </c>
      <c r="E12" s="19">
        <v>9237347119</v>
      </c>
      <c r="F12" s="128">
        <f>G12-E12</f>
        <v>563902881</v>
      </c>
      <c r="G12" s="19">
        <f>9012346000+225001119+563902881</f>
        <v>9801250000</v>
      </c>
      <c r="H12" s="19">
        <v>9535287000</v>
      </c>
      <c r="I12" s="19">
        <f>J12-H12</f>
        <v>0</v>
      </c>
      <c r="J12" s="19">
        <f>9364037000+171250000</f>
        <v>9535287000</v>
      </c>
      <c r="K12" s="19">
        <v>9747413000</v>
      </c>
      <c r="L12" s="19">
        <f>M12-K12</f>
        <v>0</v>
      </c>
      <c r="M12" s="19">
        <v>9747413000</v>
      </c>
    </row>
    <row r="13" spans="1:13" ht="179.25" customHeight="1">
      <c r="A13" s="16"/>
      <c r="B13" s="16"/>
      <c r="C13" s="16" t="s">
        <v>19</v>
      </c>
      <c r="D13" s="18" t="s">
        <v>20</v>
      </c>
      <c r="E13" s="19">
        <v>122681000</v>
      </c>
      <c r="F13" s="128">
        <f>G13-E13</f>
        <v>-15365000</v>
      </c>
      <c r="G13" s="19">
        <f>122681000+(-15365000)</f>
        <v>107316000</v>
      </c>
      <c r="H13" s="19">
        <v>127469000</v>
      </c>
      <c r="I13" s="19">
        <f>J13-H13</f>
        <v>0</v>
      </c>
      <c r="J13" s="19">
        <v>127469000</v>
      </c>
      <c r="K13" s="19">
        <v>132687000</v>
      </c>
      <c r="L13" s="19">
        <f>M13-K13</f>
        <v>0</v>
      </c>
      <c r="M13" s="19">
        <v>132687000</v>
      </c>
    </row>
    <row r="14" spans="1:13" ht="84.75" customHeight="1">
      <c r="A14" s="16"/>
      <c r="B14" s="16"/>
      <c r="C14" s="16" t="s">
        <v>21</v>
      </c>
      <c r="D14" s="18" t="s">
        <v>22</v>
      </c>
      <c r="E14" s="19">
        <v>301984000</v>
      </c>
      <c r="F14" s="128">
        <f>G14-E14</f>
        <v>-197250000</v>
      </c>
      <c r="G14" s="19">
        <f>301984000+(-197250000)</f>
        <v>104734000</v>
      </c>
      <c r="H14" s="19">
        <v>313769000</v>
      </c>
      <c r="I14" s="19">
        <f>J14-H14</f>
        <v>0</v>
      </c>
      <c r="J14" s="19">
        <v>313769000</v>
      </c>
      <c r="K14" s="19">
        <v>326615000</v>
      </c>
      <c r="L14" s="19">
        <f>M14-K14</f>
        <v>0</v>
      </c>
      <c r="M14" s="19">
        <v>326615000</v>
      </c>
    </row>
    <row r="15" spans="1:13" ht="145.5" customHeight="1">
      <c r="A15" s="16"/>
      <c r="B15" s="16"/>
      <c r="C15" s="16" t="s">
        <v>23</v>
      </c>
      <c r="D15" s="18" t="s">
        <v>24</v>
      </c>
      <c r="E15" s="19">
        <v>72966000</v>
      </c>
      <c r="F15" s="128">
        <f>G15-E15</f>
        <v>3415000</v>
      </c>
      <c r="G15" s="19">
        <f>68466000+4500000+3415000</f>
        <v>76381000</v>
      </c>
      <c r="H15" s="19">
        <v>71207000</v>
      </c>
      <c r="I15" s="19">
        <f>J15-H15</f>
        <v>0</v>
      </c>
      <c r="J15" s="19">
        <v>71207000</v>
      </c>
      <c r="K15" s="19">
        <v>73999000</v>
      </c>
      <c r="L15" s="19">
        <f>M15-K15</f>
        <v>0</v>
      </c>
      <c r="M15" s="19">
        <v>73999000</v>
      </c>
    </row>
    <row r="16" spans="1:13" ht="66.75" customHeight="1">
      <c r="A16" s="76"/>
      <c r="B16" s="7"/>
      <c r="C16" s="7" t="s">
        <v>25</v>
      </c>
      <c r="D16" s="8" t="s">
        <v>26</v>
      </c>
      <c r="E16" s="9">
        <f>E18+E19+E20+E22+E23+E24+E25</f>
        <v>3826438000</v>
      </c>
      <c r="F16" s="9">
        <f aca="true" t="shared" si="5" ref="F16:M16">F18+F19+F20+F22+F23+F24+F25</f>
        <v>-73880000</v>
      </c>
      <c r="G16" s="9">
        <f t="shared" si="5"/>
        <v>3752558000</v>
      </c>
      <c r="H16" s="9">
        <f t="shared" si="5"/>
        <v>4105946000</v>
      </c>
      <c r="I16" s="9">
        <f t="shared" si="5"/>
        <v>0</v>
      </c>
      <c r="J16" s="9">
        <f t="shared" si="5"/>
        <v>4105946000</v>
      </c>
      <c r="K16" s="9">
        <f t="shared" si="5"/>
        <v>4296102000</v>
      </c>
      <c r="L16" s="9">
        <f t="shared" si="5"/>
        <v>0</v>
      </c>
      <c r="M16" s="9">
        <f t="shared" si="5"/>
        <v>4296102000</v>
      </c>
    </row>
    <row r="17" spans="1:13" ht="42" customHeight="1">
      <c r="A17" s="16"/>
      <c r="B17" s="115"/>
      <c r="C17" s="116" t="s">
        <v>530</v>
      </c>
      <c r="D17" s="117" t="s">
        <v>524</v>
      </c>
      <c r="E17" s="118">
        <f>E18+E19+E21+E22+E23+E24+E25</f>
        <v>3826438000</v>
      </c>
      <c r="F17" s="118">
        <f aca="true" t="shared" si="6" ref="F17:M17">F18+F19+F21+F22+F23+F24+F25</f>
        <v>-73880000</v>
      </c>
      <c r="G17" s="118">
        <f>G18+G19+G21+G22+G23+G24+G25</f>
        <v>3752558000</v>
      </c>
      <c r="H17" s="118">
        <f t="shared" si="6"/>
        <v>4105946000</v>
      </c>
      <c r="I17" s="118">
        <f t="shared" si="6"/>
        <v>0</v>
      </c>
      <c r="J17" s="118">
        <f t="shared" si="6"/>
        <v>4105946000</v>
      </c>
      <c r="K17" s="118">
        <f t="shared" si="6"/>
        <v>4296102000</v>
      </c>
      <c r="L17" s="118">
        <f t="shared" si="6"/>
        <v>0</v>
      </c>
      <c r="M17" s="118">
        <f t="shared" si="6"/>
        <v>4296102000</v>
      </c>
    </row>
    <row r="18" spans="1:13" ht="37.5">
      <c r="A18" s="16"/>
      <c r="B18" s="16"/>
      <c r="C18" s="16" t="s">
        <v>27</v>
      </c>
      <c r="D18" s="18" t="s">
        <v>28</v>
      </c>
      <c r="E18" s="19">
        <v>591801000</v>
      </c>
      <c r="F18" s="128">
        <f>G18-E18</f>
        <v>-21960000</v>
      </c>
      <c r="G18" s="19">
        <f>591801000+(-21960000)</f>
        <v>569841000</v>
      </c>
      <c r="H18" s="19">
        <v>615531000</v>
      </c>
      <c r="I18" s="19">
        <f aca="true" t="shared" si="7" ref="I18:I25">J18-H18</f>
        <v>0</v>
      </c>
      <c r="J18" s="19">
        <v>615531000</v>
      </c>
      <c r="K18" s="19">
        <v>645062000</v>
      </c>
      <c r="L18" s="19">
        <f aca="true" t="shared" si="8" ref="L18:L25">M18-K18</f>
        <v>0</v>
      </c>
      <c r="M18" s="19">
        <v>645062000</v>
      </c>
    </row>
    <row r="19" spans="1:13" ht="56.25">
      <c r="A19" s="16"/>
      <c r="B19" s="16"/>
      <c r="C19" s="16" t="s">
        <v>29</v>
      </c>
      <c r="D19" s="18" t="s">
        <v>30</v>
      </c>
      <c r="E19" s="19">
        <v>100170000</v>
      </c>
      <c r="F19" s="128">
        <f aca="true" t="shared" si="9" ref="F19:F25">G19-E19</f>
        <v>9828000</v>
      </c>
      <c r="G19" s="19">
        <f>100170000+9828000</f>
        <v>109998000</v>
      </c>
      <c r="H19" s="19">
        <v>102690000</v>
      </c>
      <c r="I19" s="19">
        <f t="shared" si="7"/>
        <v>0</v>
      </c>
      <c r="J19" s="19">
        <v>102690000</v>
      </c>
      <c r="K19" s="19">
        <v>108020000</v>
      </c>
      <c r="L19" s="19">
        <f t="shared" si="8"/>
        <v>0</v>
      </c>
      <c r="M19" s="19">
        <v>108020000</v>
      </c>
    </row>
    <row r="20" spans="1:13" ht="243.75">
      <c r="A20" s="16"/>
      <c r="B20" s="16"/>
      <c r="C20" s="116" t="s">
        <v>525</v>
      </c>
      <c r="D20" s="117" t="s">
        <v>526</v>
      </c>
      <c r="E20" s="118">
        <f>E21</f>
        <v>475709000</v>
      </c>
      <c r="F20" s="118">
        <f t="shared" si="9"/>
        <v>-158275000</v>
      </c>
      <c r="G20" s="118">
        <f>G21</f>
        <v>317434000</v>
      </c>
      <c r="H20" s="118">
        <f>H21</f>
        <v>582163000</v>
      </c>
      <c r="I20" s="118">
        <f t="shared" si="7"/>
        <v>0</v>
      </c>
      <c r="J20" s="118">
        <f>J21</f>
        <v>582163000</v>
      </c>
      <c r="K20" s="118">
        <f>K21</f>
        <v>588875000</v>
      </c>
      <c r="L20" s="118">
        <f t="shared" si="8"/>
        <v>0</v>
      </c>
      <c r="M20" s="118">
        <f>M21</f>
        <v>588875000</v>
      </c>
    </row>
    <row r="21" spans="1:13" ht="262.5">
      <c r="A21" s="16"/>
      <c r="B21" s="16"/>
      <c r="C21" s="42" t="s">
        <v>527</v>
      </c>
      <c r="D21" s="18" t="s">
        <v>532</v>
      </c>
      <c r="E21" s="19">
        <v>475709000</v>
      </c>
      <c r="F21" s="128">
        <f t="shared" si="9"/>
        <v>-158275000</v>
      </c>
      <c r="G21" s="19">
        <f>475709000+(-158275000)</f>
        <v>317434000</v>
      </c>
      <c r="H21" s="19">
        <v>582163000</v>
      </c>
      <c r="I21" s="19">
        <f t="shared" si="7"/>
        <v>0</v>
      </c>
      <c r="J21" s="19">
        <v>582163000</v>
      </c>
      <c r="K21" s="19">
        <v>588875000</v>
      </c>
      <c r="L21" s="19">
        <f t="shared" si="8"/>
        <v>0</v>
      </c>
      <c r="M21" s="19">
        <v>588875000</v>
      </c>
    </row>
    <row r="22" spans="1:13" ht="112.5">
      <c r="A22" s="16"/>
      <c r="B22" s="16"/>
      <c r="C22" s="16" t="s">
        <v>31</v>
      </c>
      <c r="D22" s="18" t="s">
        <v>32</v>
      </c>
      <c r="E22" s="19">
        <v>1096648000</v>
      </c>
      <c r="F22" s="128">
        <f t="shared" si="9"/>
        <v>94393000</v>
      </c>
      <c r="G22" s="19">
        <f>1096648000+94393000</f>
        <v>1191041000</v>
      </c>
      <c r="H22" s="19">
        <v>1154234000</v>
      </c>
      <c r="I22" s="19">
        <f t="shared" si="7"/>
        <v>0</v>
      </c>
      <c r="J22" s="19">
        <v>1154234000</v>
      </c>
      <c r="K22" s="19">
        <v>1210115000</v>
      </c>
      <c r="L22" s="19">
        <f t="shared" si="8"/>
        <v>0</v>
      </c>
      <c r="M22" s="19">
        <v>1210115000</v>
      </c>
    </row>
    <row r="23" spans="1:13" ht="150">
      <c r="A23" s="16"/>
      <c r="B23" s="16"/>
      <c r="C23" s="16" t="s">
        <v>33</v>
      </c>
      <c r="D23" s="18" t="s">
        <v>34</v>
      </c>
      <c r="E23" s="19">
        <v>9873000</v>
      </c>
      <c r="F23" s="128">
        <f t="shared" si="9"/>
        <v>753000</v>
      </c>
      <c r="G23" s="19">
        <f>9873000+753000</f>
        <v>10626000</v>
      </c>
      <c r="H23" s="19">
        <v>10046000</v>
      </c>
      <c r="I23" s="19">
        <f t="shared" si="7"/>
        <v>0</v>
      </c>
      <c r="J23" s="19">
        <v>10046000</v>
      </c>
      <c r="K23" s="19">
        <v>10570000</v>
      </c>
      <c r="L23" s="19">
        <f t="shared" si="8"/>
        <v>0</v>
      </c>
      <c r="M23" s="19">
        <v>10570000</v>
      </c>
    </row>
    <row r="24" spans="1:13" ht="112.5">
      <c r="A24" s="16"/>
      <c r="B24" s="16"/>
      <c r="C24" s="16" t="s">
        <v>35</v>
      </c>
      <c r="D24" s="18" t="s">
        <v>36</v>
      </c>
      <c r="E24" s="19">
        <v>1710553000</v>
      </c>
      <c r="F24" s="128">
        <f t="shared" si="9"/>
        <v>90972000</v>
      </c>
      <c r="G24" s="19">
        <f>1710553000+90972000</f>
        <v>1801525000</v>
      </c>
      <c r="H24" s="19">
        <v>1802371000</v>
      </c>
      <c r="I24" s="19">
        <f t="shared" si="7"/>
        <v>0</v>
      </c>
      <c r="J24" s="19">
        <v>1802371000</v>
      </c>
      <c r="K24" s="19">
        <v>1895743000</v>
      </c>
      <c r="L24" s="19">
        <f t="shared" si="8"/>
        <v>0</v>
      </c>
      <c r="M24" s="19">
        <v>1895743000</v>
      </c>
    </row>
    <row r="25" spans="1:13" ht="112.5">
      <c r="A25" s="16"/>
      <c r="B25" s="16"/>
      <c r="C25" s="16" t="s">
        <v>37</v>
      </c>
      <c r="D25" s="18" t="s">
        <v>38</v>
      </c>
      <c r="E25" s="19">
        <v>-158316000</v>
      </c>
      <c r="F25" s="128">
        <f t="shared" si="9"/>
        <v>-89591000</v>
      </c>
      <c r="G25" s="19">
        <f>-158316000-89591000</f>
        <v>-247907000</v>
      </c>
      <c r="H25" s="19">
        <v>-161089000</v>
      </c>
      <c r="I25" s="19">
        <f t="shared" si="7"/>
        <v>0</v>
      </c>
      <c r="J25" s="19">
        <v>-161089000</v>
      </c>
      <c r="K25" s="19">
        <v>-162283000</v>
      </c>
      <c r="L25" s="19">
        <f t="shared" si="8"/>
        <v>0</v>
      </c>
      <c r="M25" s="19">
        <v>-162283000</v>
      </c>
    </row>
    <row r="26" spans="1:13" ht="25.5" customHeight="1">
      <c r="A26" s="76"/>
      <c r="B26" s="7"/>
      <c r="C26" s="7" t="s">
        <v>39</v>
      </c>
      <c r="D26" s="8" t="s">
        <v>40</v>
      </c>
      <c r="E26" s="9">
        <f>E27+E34</f>
        <v>1852245000</v>
      </c>
      <c r="F26" s="9">
        <f>F27+F34</f>
        <v>135779500</v>
      </c>
      <c r="G26" s="9">
        <f>G27+G34</f>
        <v>1988024500</v>
      </c>
      <c r="H26" s="9">
        <f aca="true" t="shared" si="10" ref="H26:M26">H27+H34</f>
        <v>1760689000</v>
      </c>
      <c r="I26" s="9">
        <f t="shared" si="10"/>
        <v>0</v>
      </c>
      <c r="J26" s="9">
        <f t="shared" si="10"/>
        <v>1760689000</v>
      </c>
      <c r="K26" s="9">
        <f t="shared" si="10"/>
        <v>1831117000</v>
      </c>
      <c r="L26" s="9">
        <f t="shared" si="10"/>
        <v>0</v>
      </c>
      <c r="M26" s="9">
        <f t="shared" si="10"/>
        <v>1831117000</v>
      </c>
    </row>
    <row r="27" spans="1:13" ht="42.75" customHeight="1">
      <c r="A27" s="16"/>
      <c r="B27" s="10"/>
      <c r="C27" s="10" t="s">
        <v>41</v>
      </c>
      <c r="D27" s="20" t="s">
        <v>42</v>
      </c>
      <c r="E27" s="12">
        <f>E28+E30+E33</f>
        <v>1852245000</v>
      </c>
      <c r="F27" s="12">
        <f>F28+F30+F33</f>
        <v>135773000</v>
      </c>
      <c r="G27" s="12">
        <f>G28+G30+G33</f>
        <v>1988018000</v>
      </c>
      <c r="H27" s="12">
        <f aca="true" t="shared" si="11" ref="H27:M27">H28+H30+H33</f>
        <v>1760689000</v>
      </c>
      <c r="I27" s="12">
        <f t="shared" si="11"/>
        <v>0</v>
      </c>
      <c r="J27" s="12">
        <f t="shared" si="11"/>
        <v>1760689000</v>
      </c>
      <c r="K27" s="12">
        <f t="shared" si="11"/>
        <v>1831117000</v>
      </c>
      <c r="L27" s="12">
        <f t="shared" si="11"/>
        <v>0</v>
      </c>
      <c r="M27" s="12">
        <f t="shared" si="11"/>
        <v>1831117000</v>
      </c>
    </row>
    <row r="28" spans="1:13" ht="56.25">
      <c r="A28" s="16"/>
      <c r="B28" s="13"/>
      <c r="C28" s="13" t="s">
        <v>43</v>
      </c>
      <c r="D28" s="21" t="s">
        <v>44</v>
      </c>
      <c r="E28" s="15">
        <f aca="true" t="shared" si="12" ref="E28:M28">E29</f>
        <v>1271556000</v>
      </c>
      <c r="F28" s="15">
        <f t="shared" si="12"/>
        <v>105190000</v>
      </c>
      <c r="G28" s="15">
        <f t="shared" si="12"/>
        <v>1376746000</v>
      </c>
      <c r="H28" s="15">
        <f t="shared" si="12"/>
        <v>1156772000</v>
      </c>
      <c r="I28" s="15">
        <f t="shared" si="12"/>
        <v>0</v>
      </c>
      <c r="J28" s="15">
        <f t="shared" si="12"/>
        <v>1156772000</v>
      </c>
      <c r="K28" s="15">
        <f t="shared" si="12"/>
        <v>1203043000</v>
      </c>
      <c r="L28" s="15">
        <f t="shared" si="12"/>
        <v>0</v>
      </c>
      <c r="M28" s="15">
        <f t="shared" si="12"/>
        <v>1203043000</v>
      </c>
    </row>
    <row r="29" spans="1:13" ht="56.25">
      <c r="A29" s="16"/>
      <c r="B29" s="16"/>
      <c r="C29" s="16" t="s">
        <v>45</v>
      </c>
      <c r="D29" s="22" t="s">
        <v>44</v>
      </c>
      <c r="E29" s="19">
        <v>1271556000</v>
      </c>
      <c r="F29" s="128">
        <f>G29-E29</f>
        <v>105190000</v>
      </c>
      <c r="G29" s="19">
        <f>1112281000+159275000+105190000</f>
        <v>1376746000</v>
      </c>
      <c r="H29" s="19">
        <v>1156772000</v>
      </c>
      <c r="I29" s="19">
        <f>J29-H29</f>
        <v>0</v>
      </c>
      <c r="J29" s="19">
        <v>1156772000</v>
      </c>
      <c r="K29" s="19">
        <v>1203043000</v>
      </c>
      <c r="L29" s="19">
        <f>M29-K29</f>
        <v>0</v>
      </c>
      <c r="M29" s="19">
        <v>1203043000</v>
      </c>
    </row>
    <row r="30" spans="1:13" ht="66" customHeight="1">
      <c r="A30" s="16"/>
      <c r="B30" s="13"/>
      <c r="C30" s="13" t="s">
        <v>46</v>
      </c>
      <c r="D30" s="21" t="s">
        <v>47</v>
      </c>
      <c r="E30" s="15">
        <f>E31+E32</f>
        <v>580689000</v>
      </c>
      <c r="F30" s="15">
        <f>F31+F32</f>
        <v>30583000</v>
      </c>
      <c r="G30" s="15">
        <f>G31+G32</f>
        <v>611272000</v>
      </c>
      <c r="H30" s="15">
        <f aca="true" t="shared" si="13" ref="H30:M30">H31+H32</f>
        <v>603917000</v>
      </c>
      <c r="I30" s="15">
        <f t="shared" si="13"/>
        <v>0</v>
      </c>
      <c r="J30" s="15">
        <f t="shared" si="13"/>
        <v>603917000</v>
      </c>
      <c r="K30" s="15">
        <f t="shared" si="13"/>
        <v>628074000</v>
      </c>
      <c r="L30" s="15">
        <f t="shared" si="13"/>
        <v>0</v>
      </c>
      <c r="M30" s="15">
        <f t="shared" si="13"/>
        <v>628074000</v>
      </c>
    </row>
    <row r="31" spans="1:13" ht="61.5" customHeight="1">
      <c r="A31" s="16"/>
      <c r="B31" s="16"/>
      <c r="C31" s="16" t="s">
        <v>48</v>
      </c>
      <c r="D31" s="22" t="s">
        <v>47</v>
      </c>
      <c r="E31" s="19">
        <v>580689000</v>
      </c>
      <c r="F31" s="128">
        <f>G31-E31</f>
        <v>30583000</v>
      </c>
      <c r="G31" s="19">
        <f>580689000+30583000</f>
        <v>611272000</v>
      </c>
      <c r="H31" s="19">
        <v>603917000</v>
      </c>
      <c r="I31" s="19">
        <f>J31-H31</f>
        <v>0</v>
      </c>
      <c r="J31" s="19">
        <v>603917000</v>
      </c>
      <c r="K31" s="19">
        <v>628074000</v>
      </c>
      <c r="L31" s="19">
        <f>M31-K31</f>
        <v>0</v>
      </c>
      <c r="M31" s="19">
        <v>628074000</v>
      </c>
    </row>
    <row r="32" spans="1:13" ht="93.75">
      <c r="A32" s="16"/>
      <c r="B32" s="16"/>
      <c r="C32" s="16" t="s">
        <v>49</v>
      </c>
      <c r="D32" s="22" t="s">
        <v>50</v>
      </c>
      <c r="E32" s="19">
        <v>0</v>
      </c>
      <c r="F32" s="128">
        <f>G32-E32</f>
        <v>0</v>
      </c>
      <c r="G32" s="19">
        <v>0</v>
      </c>
      <c r="H32" s="19">
        <v>0</v>
      </c>
      <c r="I32" s="19">
        <f>J32-H32</f>
        <v>0</v>
      </c>
      <c r="J32" s="19">
        <v>0</v>
      </c>
      <c r="K32" s="19">
        <v>0</v>
      </c>
      <c r="L32" s="19">
        <f>M32-K32</f>
        <v>0</v>
      </c>
      <c r="M32" s="19">
        <v>0</v>
      </c>
    </row>
    <row r="33" spans="1:13" ht="37.5">
      <c r="A33" s="16"/>
      <c r="B33" s="16"/>
      <c r="C33" s="16" t="s">
        <v>51</v>
      </c>
      <c r="D33" s="22" t="s">
        <v>52</v>
      </c>
      <c r="E33" s="19"/>
      <c r="F33" s="128">
        <f>G33-E33</f>
        <v>0</v>
      </c>
      <c r="G33" s="19"/>
      <c r="H33" s="19"/>
      <c r="I33" s="19">
        <f>J33-H33</f>
        <v>0</v>
      </c>
      <c r="J33" s="19"/>
      <c r="K33" s="19"/>
      <c r="L33" s="19">
        <f>M33-K33</f>
        <v>0</v>
      </c>
      <c r="M33" s="19"/>
    </row>
    <row r="34" spans="1:13" ht="56.25">
      <c r="A34" s="16"/>
      <c r="B34" s="16"/>
      <c r="C34" s="16" t="s">
        <v>53</v>
      </c>
      <c r="D34" s="22" t="s">
        <v>54</v>
      </c>
      <c r="E34" s="19"/>
      <c r="F34" s="128">
        <f>G34-E34</f>
        <v>6500</v>
      </c>
      <c r="G34" s="19">
        <f>6500</f>
        <v>6500</v>
      </c>
      <c r="H34" s="19"/>
      <c r="I34" s="19">
        <f>J34-H34</f>
        <v>0</v>
      </c>
      <c r="J34" s="19"/>
      <c r="K34" s="19"/>
      <c r="L34" s="19">
        <f>M34-K34</f>
        <v>0</v>
      </c>
      <c r="M34" s="19"/>
    </row>
    <row r="35" spans="1:13" ht="18.75">
      <c r="A35" s="76"/>
      <c r="B35" s="7"/>
      <c r="C35" s="7" t="s">
        <v>55</v>
      </c>
      <c r="D35" s="8" t="s">
        <v>56</v>
      </c>
      <c r="E35" s="9">
        <f>E36+E39+E42</f>
        <v>4088187000</v>
      </c>
      <c r="F35" s="9">
        <f>F36+F39+F42</f>
        <v>30718000</v>
      </c>
      <c r="G35" s="9">
        <f>G36+G39+G42</f>
        <v>4118905000</v>
      </c>
      <c r="H35" s="9">
        <f aca="true" t="shared" si="14" ref="H35:M35">H36+H39+H42</f>
        <v>4129181000</v>
      </c>
      <c r="I35" s="9">
        <f t="shared" si="14"/>
        <v>0</v>
      </c>
      <c r="J35" s="9">
        <f t="shared" si="14"/>
        <v>4129181000</v>
      </c>
      <c r="K35" s="9">
        <f t="shared" si="14"/>
        <v>4127817000</v>
      </c>
      <c r="L35" s="9">
        <f t="shared" si="14"/>
        <v>0</v>
      </c>
      <c r="M35" s="9">
        <f t="shared" si="14"/>
        <v>4127817000</v>
      </c>
    </row>
    <row r="36" spans="1:13" ht="18.75">
      <c r="A36" s="16"/>
      <c r="B36" s="13"/>
      <c r="C36" s="13" t="s">
        <v>57</v>
      </c>
      <c r="D36" s="14" t="s">
        <v>58</v>
      </c>
      <c r="E36" s="15">
        <f>E37+E38</f>
        <v>3251695000</v>
      </c>
      <c r="F36" s="15">
        <f>F37+F38</f>
        <v>0</v>
      </c>
      <c r="G36" s="15">
        <f>G37+G38</f>
        <v>3251695000</v>
      </c>
      <c r="H36" s="15">
        <f aca="true" t="shared" si="15" ref="H36:M36">H37+H38</f>
        <v>3305019000</v>
      </c>
      <c r="I36" s="15">
        <f t="shared" si="15"/>
        <v>0</v>
      </c>
      <c r="J36" s="15">
        <f t="shared" si="15"/>
        <v>3305019000</v>
      </c>
      <c r="K36" s="15">
        <f t="shared" si="15"/>
        <v>3282972000</v>
      </c>
      <c r="L36" s="15">
        <f t="shared" si="15"/>
        <v>0</v>
      </c>
      <c r="M36" s="15">
        <f t="shared" si="15"/>
        <v>3282972000</v>
      </c>
    </row>
    <row r="37" spans="1:13" ht="56.25">
      <c r="A37" s="16"/>
      <c r="B37" s="16"/>
      <c r="C37" s="16" t="s">
        <v>59</v>
      </c>
      <c r="D37" s="18" t="s">
        <v>60</v>
      </c>
      <c r="E37" s="19">
        <v>3199350000</v>
      </c>
      <c r="F37" s="128">
        <f>G37-E37</f>
        <v>0</v>
      </c>
      <c r="G37" s="19">
        <v>3199350000</v>
      </c>
      <c r="H37" s="19">
        <v>3245492000</v>
      </c>
      <c r="I37" s="19">
        <f>J37-H37</f>
        <v>0</v>
      </c>
      <c r="J37" s="19">
        <v>3245492000</v>
      </c>
      <c r="K37" s="19">
        <v>3220576000</v>
      </c>
      <c r="L37" s="19">
        <f>M37-K37</f>
        <v>0</v>
      </c>
      <c r="M37" s="19">
        <v>3220576000</v>
      </c>
    </row>
    <row r="38" spans="1:13" ht="42.75" customHeight="1">
      <c r="A38" s="16"/>
      <c r="B38" s="16"/>
      <c r="C38" s="16" t="s">
        <v>61</v>
      </c>
      <c r="D38" s="18" t="s">
        <v>62</v>
      </c>
      <c r="E38" s="19">
        <v>52345000</v>
      </c>
      <c r="F38" s="128">
        <f>G38-E38</f>
        <v>0</v>
      </c>
      <c r="G38" s="19">
        <v>52345000</v>
      </c>
      <c r="H38" s="19">
        <v>59527000</v>
      </c>
      <c r="I38" s="19">
        <f>J38-H38</f>
        <v>0</v>
      </c>
      <c r="J38" s="19">
        <v>59527000</v>
      </c>
      <c r="K38" s="19">
        <v>62396000</v>
      </c>
      <c r="L38" s="19">
        <f>M38-K38</f>
        <v>0</v>
      </c>
      <c r="M38" s="19">
        <v>62396000</v>
      </c>
    </row>
    <row r="39" spans="1:13" ht="18.75">
      <c r="A39" s="16"/>
      <c r="B39" s="13"/>
      <c r="C39" s="13" t="s">
        <v>63</v>
      </c>
      <c r="D39" s="14" t="s">
        <v>64</v>
      </c>
      <c r="E39" s="15">
        <f>E40+E41</f>
        <v>797863000</v>
      </c>
      <c r="F39" s="15">
        <f>F40+F41</f>
        <v>32534000</v>
      </c>
      <c r="G39" s="15">
        <f>G40+G41</f>
        <v>830397000</v>
      </c>
      <c r="H39" s="15">
        <v>818024000</v>
      </c>
      <c r="I39" s="15">
        <f>I40+I41</f>
        <v>0</v>
      </c>
      <c r="J39" s="15">
        <f>J40+J41</f>
        <v>818024000</v>
      </c>
      <c r="K39" s="15">
        <f>K40+K41</f>
        <v>838707000</v>
      </c>
      <c r="L39" s="15">
        <f>L40+L41</f>
        <v>0</v>
      </c>
      <c r="M39" s="15">
        <f>M40+M41</f>
        <v>838707000</v>
      </c>
    </row>
    <row r="40" spans="1:13" ht="18.75">
      <c r="A40" s="16"/>
      <c r="B40" s="16"/>
      <c r="C40" s="16" t="s">
        <v>65</v>
      </c>
      <c r="D40" s="18" t="s">
        <v>66</v>
      </c>
      <c r="E40" s="19">
        <v>138128000</v>
      </c>
      <c r="F40" s="128">
        <f>G40-E40</f>
        <v>0</v>
      </c>
      <c r="G40" s="19">
        <v>138128000</v>
      </c>
      <c r="H40" s="19">
        <v>140476000</v>
      </c>
      <c r="I40" s="19">
        <f>J40-H40</f>
        <v>0</v>
      </c>
      <c r="J40" s="19">
        <v>140476000</v>
      </c>
      <c r="K40" s="19">
        <v>142865000</v>
      </c>
      <c r="L40" s="19">
        <f>M40-K40</f>
        <v>0</v>
      </c>
      <c r="M40" s="19">
        <v>142865000</v>
      </c>
    </row>
    <row r="41" spans="1:13" ht="18.75">
      <c r="A41" s="16"/>
      <c r="B41" s="16"/>
      <c r="C41" s="16" t="s">
        <v>67</v>
      </c>
      <c r="D41" s="18" t="s">
        <v>68</v>
      </c>
      <c r="E41" s="19">
        <v>659735000</v>
      </c>
      <c r="F41" s="128">
        <f>G41-E41</f>
        <v>32534000</v>
      </c>
      <c r="G41" s="19">
        <f>659735000+32534000</f>
        <v>692269000</v>
      </c>
      <c r="H41" s="19">
        <v>677548000</v>
      </c>
      <c r="I41" s="19">
        <f>J41-H41</f>
        <v>0</v>
      </c>
      <c r="J41" s="19">
        <v>677548000</v>
      </c>
      <c r="K41" s="19">
        <v>695842000</v>
      </c>
      <c r="L41" s="19">
        <f>M41-K41</f>
        <v>0</v>
      </c>
      <c r="M41" s="19">
        <v>695842000</v>
      </c>
    </row>
    <row r="42" spans="1:13" ht="18.75">
      <c r="A42" s="16"/>
      <c r="B42" s="16"/>
      <c r="C42" s="16" t="s">
        <v>69</v>
      </c>
      <c r="D42" s="18" t="s">
        <v>70</v>
      </c>
      <c r="E42" s="19">
        <v>38629000</v>
      </c>
      <c r="F42" s="128">
        <f>G42-E42</f>
        <v>-1816000</v>
      </c>
      <c r="G42" s="19">
        <f>38629000-1816000</f>
        <v>36813000</v>
      </c>
      <c r="H42" s="19">
        <v>6138000</v>
      </c>
      <c r="I42" s="19">
        <f>J42-H42</f>
        <v>0</v>
      </c>
      <c r="J42" s="19">
        <v>6138000</v>
      </c>
      <c r="K42" s="19">
        <v>6138000</v>
      </c>
      <c r="L42" s="19">
        <f>M42-K42</f>
        <v>0</v>
      </c>
      <c r="M42" s="19">
        <v>6138000</v>
      </c>
    </row>
    <row r="43" spans="1:13" ht="56.25">
      <c r="A43" s="76"/>
      <c r="B43" s="7"/>
      <c r="C43" s="7" t="s">
        <v>71</v>
      </c>
      <c r="D43" s="8" t="s">
        <v>72</v>
      </c>
      <c r="E43" s="9">
        <f>E44+E47</f>
        <v>14825000</v>
      </c>
      <c r="F43" s="9">
        <f>F44+F47</f>
        <v>2498000</v>
      </c>
      <c r="G43" s="9">
        <f>G44+G47</f>
        <v>17323000</v>
      </c>
      <c r="H43" s="9">
        <f aca="true" t="shared" si="16" ref="H43:M43">H44+H47</f>
        <v>15171000</v>
      </c>
      <c r="I43" s="9">
        <f t="shared" si="16"/>
        <v>0</v>
      </c>
      <c r="J43" s="9">
        <f t="shared" si="16"/>
        <v>15171000</v>
      </c>
      <c r="K43" s="9">
        <f t="shared" si="16"/>
        <v>15524000</v>
      </c>
      <c r="L43" s="9">
        <f t="shared" si="16"/>
        <v>0</v>
      </c>
      <c r="M43" s="9">
        <f t="shared" si="16"/>
        <v>15524000</v>
      </c>
    </row>
    <row r="44" spans="1:13" ht="27" customHeight="1">
      <c r="A44" s="16"/>
      <c r="B44" s="10"/>
      <c r="C44" s="10" t="s">
        <v>73</v>
      </c>
      <c r="D44" s="11" t="s">
        <v>74</v>
      </c>
      <c r="E44" s="12">
        <f>E45+E46</f>
        <v>14282000</v>
      </c>
      <c r="F44" s="12">
        <f>F45+F46</f>
        <v>2536000</v>
      </c>
      <c r="G44" s="12">
        <f>G45+G46</f>
        <v>16818000</v>
      </c>
      <c r="H44" s="12">
        <f aca="true" t="shared" si="17" ref="H44:M44">H45+H46</f>
        <v>14626000</v>
      </c>
      <c r="I44" s="12">
        <f t="shared" si="17"/>
        <v>0</v>
      </c>
      <c r="J44" s="12">
        <f t="shared" si="17"/>
        <v>14626000</v>
      </c>
      <c r="K44" s="12">
        <f t="shared" si="17"/>
        <v>14978000</v>
      </c>
      <c r="L44" s="12">
        <f t="shared" si="17"/>
        <v>0</v>
      </c>
      <c r="M44" s="12">
        <f t="shared" si="17"/>
        <v>14978000</v>
      </c>
    </row>
    <row r="45" spans="1:13" ht="37.5">
      <c r="A45" s="16"/>
      <c r="B45" s="16"/>
      <c r="C45" s="16" t="s">
        <v>75</v>
      </c>
      <c r="D45" s="18" t="s">
        <v>76</v>
      </c>
      <c r="E45" s="19">
        <v>7565000</v>
      </c>
      <c r="F45" s="128">
        <f>G45-E45</f>
        <v>1771000</v>
      </c>
      <c r="G45" s="19">
        <f>7565000+1771000</f>
        <v>9336000</v>
      </c>
      <c r="H45" s="19">
        <v>7573000</v>
      </c>
      <c r="I45" s="19">
        <f>J45-H45</f>
        <v>0</v>
      </c>
      <c r="J45" s="19">
        <v>7573000</v>
      </c>
      <c r="K45" s="19">
        <v>7573000</v>
      </c>
      <c r="L45" s="19">
        <f>M45-K45</f>
        <v>0</v>
      </c>
      <c r="M45" s="19">
        <v>7573000</v>
      </c>
    </row>
    <row r="46" spans="1:13" ht="56.25">
      <c r="A46" s="16"/>
      <c r="B46" s="16"/>
      <c r="C46" s="16" t="s">
        <v>77</v>
      </c>
      <c r="D46" s="18" t="s">
        <v>78</v>
      </c>
      <c r="E46" s="19">
        <v>6717000</v>
      </c>
      <c r="F46" s="128">
        <f>G46-E46</f>
        <v>765000</v>
      </c>
      <c r="G46" s="19">
        <f>6717000+765000</f>
        <v>7482000</v>
      </c>
      <c r="H46" s="19">
        <v>7053000</v>
      </c>
      <c r="I46" s="19">
        <f>J46-H46</f>
        <v>0</v>
      </c>
      <c r="J46" s="19">
        <v>7053000</v>
      </c>
      <c r="K46" s="19">
        <v>7405000</v>
      </c>
      <c r="L46" s="19">
        <f>M46-K46</f>
        <v>0</v>
      </c>
      <c r="M46" s="19">
        <v>7405000</v>
      </c>
    </row>
    <row r="47" spans="1:13" ht="66.75" customHeight="1">
      <c r="A47" s="16"/>
      <c r="B47" s="10"/>
      <c r="C47" s="10" t="s">
        <v>79</v>
      </c>
      <c r="D47" s="11" t="s">
        <v>80</v>
      </c>
      <c r="E47" s="12">
        <f aca="true" t="shared" si="18" ref="E47:M47">E48</f>
        <v>543000</v>
      </c>
      <c r="F47" s="12">
        <f t="shared" si="18"/>
        <v>-38000</v>
      </c>
      <c r="G47" s="12">
        <f t="shared" si="18"/>
        <v>505000</v>
      </c>
      <c r="H47" s="12">
        <f t="shared" si="18"/>
        <v>545000</v>
      </c>
      <c r="I47" s="12">
        <f t="shared" si="18"/>
        <v>0</v>
      </c>
      <c r="J47" s="12">
        <f t="shared" si="18"/>
        <v>545000</v>
      </c>
      <c r="K47" s="12">
        <f t="shared" si="18"/>
        <v>546000</v>
      </c>
      <c r="L47" s="12">
        <f t="shared" si="18"/>
        <v>0</v>
      </c>
      <c r="M47" s="12">
        <f t="shared" si="18"/>
        <v>546000</v>
      </c>
    </row>
    <row r="48" spans="1:13" ht="29.25" customHeight="1">
      <c r="A48" s="16"/>
      <c r="B48" s="16"/>
      <c r="C48" s="16" t="s">
        <v>81</v>
      </c>
      <c r="D48" s="18" t="s">
        <v>82</v>
      </c>
      <c r="E48" s="19">
        <v>543000</v>
      </c>
      <c r="F48" s="128">
        <f>G48-E48</f>
        <v>-38000</v>
      </c>
      <c r="G48" s="19">
        <f>543000+(-38000)</f>
        <v>505000</v>
      </c>
      <c r="H48" s="19">
        <v>545000</v>
      </c>
      <c r="I48" s="19">
        <f>J48-H48</f>
        <v>0</v>
      </c>
      <c r="J48" s="19">
        <v>545000</v>
      </c>
      <c r="K48" s="19">
        <v>546000</v>
      </c>
      <c r="L48" s="19">
        <f>M48-K48</f>
        <v>0</v>
      </c>
      <c r="M48" s="19">
        <v>546000</v>
      </c>
    </row>
    <row r="49" spans="1:13" ht="30" customHeight="1">
      <c r="A49" s="76"/>
      <c r="B49" s="7"/>
      <c r="C49" s="7" t="s">
        <v>83</v>
      </c>
      <c r="D49" s="8" t="s">
        <v>84</v>
      </c>
      <c r="E49" s="9">
        <f>E50+E51</f>
        <v>162130000</v>
      </c>
      <c r="F49" s="9">
        <f>F50+F51</f>
        <v>14682000</v>
      </c>
      <c r="G49" s="9">
        <f>G50+G51</f>
        <v>176812000</v>
      </c>
      <c r="H49" s="9">
        <f aca="true" t="shared" si="19" ref="H49:M49">H50+H51</f>
        <v>213528000</v>
      </c>
      <c r="I49" s="9">
        <f t="shared" si="19"/>
        <v>0</v>
      </c>
      <c r="J49" s="9">
        <f t="shared" si="19"/>
        <v>213528000</v>
      </c>
      <c r="K49" s="9">
        <f t="shared" si="19"/>
        <v>221884000</v>
      </c>
      <c r="L49" s="9">
        <f t="shared" si="19"/>
        <v>0</v>
      </c>
      <c r="M49" s="9">
        <f t="shared" si="19"/>
        <v>221884000</v>
      </c>
    </row>
    <row r="50" spans="1:13" ht="101.25" customHeight="1">
      <c r="A50" s="16"/>
      <c r="B50" s="16"/>
      <c r="C50" s="16" t="s">
        <v>85</v>
      </c>
      <c r="D50" s="18" t="s">
        <v>86</v>
      </c>
      <c r="E50" s="19">
        <v>580000</v>
      </c>
      <c r="F50" s="128">
        <f>G50-E50</f>
        <v>-320000</v>
      </c>
      <c r="G50" s="19">
        <f>580000-320000</f>
        <v>260000</v>
      </c>
      <c r="H50" s="19">
        <v>1580000</v>
      </c>
      <c r="I50" s="19">
        <f>J50-H50</f>
        <v>0</v>
      </c>
      <c r="J50" s="19">
        <v>1580000</v>
      </c>
      <c r="K50" s="19">
        <v>1580000</v>
      </c>
      <c r="L50" s="19">
        <f>M50-K50</f>
        <v>0</v>
      </c>
      <c r="M50" s="19">
        <v>1580000</v>
      </c>
    </row>
    <row r="51" spans="1:13" ht="63.75" customHeight="1">
      <c r="A51" s="16"/>
      <c r="B51" s="13"/>
      <c r="C51" s="13" t="s">
        <v>87</v>
      </c>
      <c r="D51" s="14" t="s">
        <v>88</v>
      </c>
      <c r="E51" s="15">
        <f>E52+E53+E55+E56+E57+E58+E59+E62+E64+E66+E68+E69+E70+E71+E72+E73</f>
        <v>161550000</v>
      </c>
      <c r="F51" s="15">
        <f>F52+F53+F55+F56+F57+F58+F59+F62+F64+F66+F68+F69+F70+F71+F72+F73</f>
        <v>15002000</v>
      </c>
      <c r="G51" s="15">
        <f>G52+G53+G55+G56+G57+G58+G59+G62+G64+G66+G68+G69+G70+G71+G72+G73</f>
        <v>176552000</v>
      </c>
      <c r="H51" s="15">
        <f aca="true" t="shared" si="20" ref="H51:M51">H52+H53+H55+H56+H57+H58+H59+H62+H64+H66+H68+H69+H70+H71+H72+H73</f>
        <v>211948000</v>
      </c>
      <c r="I51" s="15">
        <f t="shared" si="20"/>
        <v>0</v>
      </c>
      <c r="J51" s="15">
        <f t="shared" si="20"/>
        <v>211948000</v>
      </c>
      <c r="K51" s="15">
        <f t="shared" si="20"/>
        <v>220304000</v>
      </c>
      <c r="L51" s="15">
        <f t="shared" si="20"/>
        <v>0</v>
      </c>
      <c r="M51" s="15">
        <f t="shared" si="20"/>
        <v>220304000</v>
      </c>
    </row>
    <row r="52" spans="1:13" ht="139.5" customHeight="1">
      <c r="A52" s="16"/>
      <c r="B52" s="16"/>
      <c r="C52" s="16" t="s">
        <v>89</v>
      </c>
      <c r="D52" s="18" t="s">
        <v>90</v>
      </c>
      <c r="E52" s="19">
        <v>305000</v>
      </c>
      <c r="F52" s="128">
        <f>G52-E52</f>
        <v>213000</v>
      </c>
      <c r="G52" s="19">
        <f>305000+213000</f>
        <v>518000</v>
      </c>
      <c r="H52" s="19">
        <v>909000</v>
      </c>
      <c r="I52" s="19">
        <f>J52-H52</f>
        <v>0</v>
      </c>
      <c r="J52" s="19">
        <v>909000</v>
      </c>
      <c r="K52" s="19">
        <v>912000</v>
      </c>
      <c r="L52" s="19">
        <f>M52-K52</f>
        <v>0</v>
      </c>
      <c r="M52" s="19">
        <v>912000</v>
      </c>
    </row>
    <row r="53" spans="1:13" ht="58.5" customHeight="1">
      <c r="A53" s="16"/>
      <c r="B53" s="16"/>
      <c r="C53" s="16" t="s">
        <v>91</v>
      </c>
      <c r="D53" s="18" t="s">
        <v>92</v>
      </c>
      <c r="E53" s="19">
        <v>98772000</v>
      </c>
      <c r="F53" s="128">
        <f>G53-E53</f>
        <v>12884000</v>
      </c>
      <c r="G53" s="19">
        <f>98772000+12884000</f>
        <v>111656000</v>
      </c>
      <c r="H53" s="19">
        <v>120030000</v>
      </c>
      <c r="I53" s="19">
        <f>J53-H53</f>
        <v>0</v>
      </c>
      <c r="J53" s="19">
        <v>120030000</v>
      </c>
      <c r="K53" s="19">
        <v>128289000</v>
      </c>
      <c r="L53" s="19">
        <f>M53-K53</f>
        <v>0</v>
      </c>
      <c r="M53" s="19">
        <v>128289000</v>
      </c>
    </row>
    <row r="54" spans="1:13" ht="93.75">
      <c r="A54" s="16"/>
      <c r="B54" s="13"/>
      <c r="C54" s="13" t="s">
        <v>93</v>
      </c>
      <c r="D54" s="14" t="s">
        <v>94</v>
      </c>
      <c r="E54" s="50">
        <f aca="true" t="shared" si="21" ref="E54:M54">E55</f>
        <v>43510000</v>
      </c>
      <c r="F54" s="50">
        <f t="shared" si="21"/>
        <v>-282750</v>
      </c>
      <c r="G54" s="50">
        <f t="shared" si="21"/>
        <v>43227250</v>
      </c>
      <c r="H54" s="50">
        <f t="shared" si="21"/>
        <v>58310000</v>
      </c>
      <c r="I54" s="50">
        <f t="shared" si="21"/>
        <v>0</v>
      </c>
      <c r="J54" s="50">
        <f t="shared" si="21"/>
        <v>58310000</v>
      </c>
      <c r="K54" s="50">
        <f t="shared" si="21"/>
        <v>58310000</v>
      </c>
      <c r="L54" s="50">
        <f t="shared" si="21"/>
        <v>0</v>
      </c>
      <c r="M54" s="50">
        <f t="shared" si="21"/>
        <v>58310000</v>
      </c>
    </row>
    <row r="55" spans="1:13" ht="124.5" customHeight="1">
      <c r="A55" s="16"/>
      <c r="B55" s="16"/>
      <c r="C55" s="16" t="s">
        <v>95</v>
      </c>
      <c r="D55" s="18" t="s">
        <v>96</v>
      </c>
      <c r="E55" s="19">
        <v>43510000</v>
      </c>
      <c r="F55" s="128">
        <f>G55-E55</f>
        <v>-282750</v>
      </c>
      <c r="G55" s="19">
        <f>43510000-282750</f>
        <v>43227250</v>
      </c>
      <c r="H55" s="19">
        <v>58310000</v>
      </c>
      <c r="I55" s="19">
        <f>J55-H55</f>
        <v>0</v>
      </c>
      <c r="J55" s="19">
        <v>58310000</v>
      </c>
      <c r="K55" s="19">
        <v>58310000</v>
      </c>
      <c r="L55" s="19">
        <f>M55-K55</f>
        <v>0</v>
      </c>
      <c r="M55" s="19">
        <v>58310000</v>
      </c>
    </row>
    <row r="56" spans="1:13" ht="45.75" customHeight="1">
      <c r="A56" s="16"/>
      <c r="B56" s="16"/>
      <c r="C56" s="16" t="s">
        <v>97</v>
      </c>
      <c r="D56" s="18" t="s">
        <v>98</v>
      </c>
      <c r="E56" s="19">
        <v>1041000</v>
      </c>
      <c r="F56" s="128">
        <f>G56-E56</f>
        <v>2989000</v>
      </c>
      <c r="G56" s="19">
        <f>1041000+2989000</f>
        <v>4030000</v>
      </c>
      <c r="H56" s="19">
        <v>3041000</v>
      </c>
      <c r="I56" s="19">
        <f>J56-H56</f>
        <v>0</v>
      </c>
      <c r="J56" s="19">
        <v>3041000</v>
      </c>
      <c r="K56" s="19">
        <v>3041000</v>
      </c>
      <c r="L56" s="19">
        <f>M56-K56</f>
        <v>0</v>
      </c>
      <c r="M56" s="19">
        <v>3041000</v>
      </c>
    </row>
    <row r="57" spans="1:13" ht="124.5" customHeight="1">
      <c r="A57" s="16"/>
      <c r="B57" s="16"/>
      <c r="C57" s="16" t="s">
        <v>99</v>
      </c>
      <c r="D57" s="18" t="s">
        <v>100</v>
      </c>
      <c r="E57" s="19">
        <v>146000</v>
      </c>
      <c r="F57" s="128">
        <f>G57-E57</f>
        <v>-46000</v>
      </c>
      <c r="G57" s="19">
        <f>146000-46000</f>
        <v>100000</v>
      </c>
      <c r="H57" s="19">
        <v>147000</v>
      </c>
      <c r="I57" s="19">
        <f>J57-H57</f>
        <v>0</v>
      </c>
      <c r="J57" s="19">
        <v>147000</v>
      </c>
      <c r="K57" s="19">
        <v>148000</v>
      </c>
      <c r="L57" s="19">
        <f>M57-K57</f>
        <v>0</v>
      </c>
      <c r="M57" s="19">
        <v>148000</v>
      </c>
    </row>
    <row r="58" spans="1:13" ht="68.25" customHeight="1">
      <c r="A58" s="16"/>
      <c r="B58" s="16"/>
      <c r="C58" s="16" t="s">
        <v>101</v>
      </c>
      <c r="D58" s="22" t="s">
        <v>102</v>
      </c>
      <c r="E58" s="19">
        <v>106000</v>
      </c>
      <c r="F58" s="128">
        <f>G58-E58</f>
        <v>-86000</v>
      </c>
      <c r="G58" s="19">
        <f>106000-86000</f>
        <v>20000</v>
      </c>
      <c r="H58" s="19">
        <v>207000</v>
      </c>
      <c r="I58" s="19">
        <f>J58-H58</f>
        <v>0</v>
      </c>
      <c r="J58" s="19">
        <v>207000</v>
      </c>
      <c r="K58" s="19">
        <v>208000</v>
      </c>
      <c r="L58" s="19">
        <f>M58-K58</f>
        <v>0</v>
      </c>
      <c r="M58" s="19">
        <v>208000</v>
      </c>
    </row>
    <row r="59" spans="1:13" ht="186" customHeight="1">
      <c r="A59" s="16"/>
      <c r="B59" s="16"/>
      <c r="C59" s="16" t="s">
        <v>103</v>
      </c>
      <c r="D59" s="22" t="s">
        <v>531</v>
      </c>
      <c r="E59" s="19">
        <v>10000</v>
      </c>
      <c r="F59" s="128">
        <f>G59-E59</f>
        <v>0</v>
      </c>
      <c r="G59" s="19">
        <v>10000</v>
      </c>
      <c r="H59" s="19">
        <v>210000</v>
      </c>
      <c r="I59" s="19">
        <f>J59-H59</f>
        <v>0</v>
      </c>
      <c r="J59" s="19">
        <v>210000</v>
      </c>
      <c r="K59" s="19">
        <v>210000</v>
      </c>
      <c r="L59" s="19">
        <f>M59-K59</f>
        <v>0</v>
      </c>
      <c r="M59" s="19">
        <v>210000</v>
      </c>
    </row>
    <row r="60" spans="1:13" ht="120.75" customHeight="1">
      <c r="A60" s="16"/>
      <c r="B60" s="13"/>
      <c r="C60" s="13" t="s">
        <v>104</v>
      </c>
      <c r="D60" s="14" t="s">
        <v>105</v>
      </c>
      <c r="E60" s="15">
        <f aca="true" t="shared" si="22" ref="E60:M60">E61+E62</f>
        <v>15000000</v>
      </c>
      <c r="F60" s="15">
        <f t="shared" si="22"/>
        <v>9570000</v>
      </c>
      <c r="G60" s="15">
        <f t="shared" si="22"/>
        <v>24570000</v>
      </c>
      <c r="H60" s="15">
        <f t="shared" si="22"/>
        <v>22600000</v>
      </c>
      <c r="I60" s="15">
        <f t="shared" si="22"/>
        <v>0</v>
      </c>
      <c r="J60" s="15">
        <f t="shared" si="22"/>
        <v>22600000</v>
      </c>
      <c r="K60" s="15">
        <f t="shared" si="22"/>
        <v>22650000</v>
      </c>
      <c r="L60" s="15">
        <f t="shared" si="22"/>
        <v>0</v>
      </c>
      <c r="M60" s="15">
        <f t="shared" si="22"/>
        <v>22650000</v>
      </c>
    </row>
    <row r="61" spans="1:13" ht="147.75" customHeight="1">
      <c r="A61" s="16"/>
      <c r="B61" s="16"/>
      <c r="C61" s="42" t="s">
        <v>567</v>
      </c>
      <c r="D61" s="18" t="s">
        <v>568</v>
      </c>
      <c r="E61" s="19"/>
      <c r="F61" s="128">
        <f>G61-E61</f>
        <v>9570000</v>
      </c>
      <c r="G61" s="19">
        <v>9570000</v>
      </c>
      <c r="H61" s="19"/>
      <c r="I61" s="19"/>
      <c r="J61" s="19"/>
      <c r="K61" s="19"/>
      <c r="L61" s="19"/>
      <c r="M61" s="19"/>
    </row>
    <row r="62" spans="1:13" ht="300">
      <c r="A62" s="16"/>
      <c r="B62" s="16"/>
      <c r="C62" s="16" t="s">
        <v>106</v>
      </c>
      <c r="D62" s="18" t="s">
        <v>107</v>
      </c>
      <c r="E62" s="19">
        <v>15000000</v>
      </c>
      <c r="F62" s="128">
        <f>G62-E62</f>
        <v>0</v>
      </c>
      <c r="G62" s="19">
        <v>15000000</v>
      </c>
      <c r="H62" s="19">
        <v>22600000</v>
      </c>
      <c r="I62" s="19">
        <f>J62-H62</f>
        <v>0</v>
      </c>
      <c r="J62" s="19">
        <v>22600000</v>
      </c>
      <c r="K62" s="19">
        <v>22650000</v>
      </c>
      <c r="L62" s="19">
        <f>M62-K62</f>
        <v>0</v>
      </c>
      <c r="M62" s="19">
        <v>22650000</v>
      </c>
    </row>
    <row r="63" spans="1:13" ht="112.5">
      <c r="A63" s="16"/>
      <c r="B63" s="13"/>
      <c r="C63" s="13" t="s">
        <v>108</v>
      </c>
      <c r="D63" s="14" t="s">
        <v>109</v>
      </c>
      <c r="E63" s="15">
        <f aca="true" t="shared" si="23" ref="E63:M63">E64</f>
        <v>985000</v>
      </c>
      <c r="F63" s="15">
        <f t="shared" si="23"/>
        <v>-535000</v>
      </c>
      <c r="G63" s="15">
        <f t="shared" si="23"/>
        <v>450000</v>
      </c>
      <c r="H63" s="15">
        <f t="shared" si="23"/>
        <v>2534000</v>
      </c>
      <c r="I63" s="15">
        <f t="shared" si="23"/>
        <v>0</v>
      </c>
      <c r="J63" s="15">
        <f t="shared" si="23"/>
        <v>2534000</v>
      </c>
      <c r="K63" s="15">
        <f t="shared" si="23"/>
        <v>2586000</v>
      </c>
      <c r="L63" s="15">
        <f t="shared" si="23"/>
        <v>0</v>
      </c>
      <c r="M63" s="15">
        <f t="shared" si="23"/>
        <v>2586000</v>
      </c>
    </row>
    <row r="64" spans="1:13" ht="150">
      <c r="A64" s="16"/>
      <c r="B64" s="16"/>
      <c r="C64" s="16" t="s">
        <v>110</v>
      </c>
      <c r="D64" s="18" t="s">
        <v>111</v>
      </c>
      <c r="E64" s="19">
        <v>985000</v>
      </c>
      <c r="F64" s="128">
        <f>G64-E64</f>
        <v>-535000</v>
      </c>
      <c r="G64" s="19">
        <f>985000-535000</f>
        <v>450000</v>
      </c>
      <c r="H64" s="19">
        <v>2534000</v>
      </c>
      <c r="I64" s="19">
        <f>J64-H64</f>
        <v>0</v>
      </c>
      <c r="J64" s="19">
        <v>2534000</v>
      </c>
      <c r="K64" s="19">
        <v>2586000</v>
      </c>
      <c r="L64" s="19">
        <f>M64-K64</f>
        <v>0</v>
      </c>
      <c r="M64" s="19">
        <v>2586000</v>
      </c>
    </row>
    <row r="65" spans="1:13" ht="56.25">
      <c r="A65" s="16"/>
      <c r="B65" s="13"/>
      <c r="C65" s="13" t="s">
        <v>112</v>
      </c>
      <c r="D65" s="14" t="s">
        <v>113</v>
      </c>
      <c r="E65" s="15">
        <f aca="true" t="shared" si="24" ref="E65:M65">E66</f>
        <v>245000</v>
      </c>
      <c r="F65" s="15">
        <f t="shared" si="24"/>
        <v>0</v>
      </c>
      <c r="G65" s="15">
        <f t="shared" si="24"/>
        <v>245000</v>
      </c>
      <c r="H65" s="15">
        <f t="shared" si="24"/>
        <v>345000</v>
      </c>
      <c r="I65" s="15">
        <f t="shared" si="24"/>
        <v>0</v>
      </c>
      <c r="J65" s="15">
        <f t="shared" si="24"/>
        <v>345000</v>
      </c>
      <c r="K65" s="15">
        <f t="shared" si="24"/>
        <v>345000</v>
      </c>
      <c r="L65" s="15">
        <f t="shared" si="24"/>
        <v>0</v>
      </c>
      <c r="M65" s="15">
        <f t="shared" si="24"/>
        <v>345000</v>
      </c>
    </row>
    <row r="66" spans="1:13" ht="125.25" customHeight="1">
      <c r="A66" s="16"/>
      <c r="B66" s="16"/>
      <c r="C66" s="16" t="s">
        <v>114</v>
      </c>
      <c r="D66" s="18" t="s">
        <v>115</v>
      </c>
      <c r="E66" s="19">
        <v>245000</v>
      </c>
      <c r="F66" s="128">
        <f aca="true" t="shared" si="25" ref="F66:F73">G66-E66</f>
        <v>0</v>
      </c>
      <c r="G66" s="19">
        <v>245000</v>
      </c>
      <c r="H66" s="19">
        <v>345000</v>
      </c>
      <c r="I66" s="19">
        <f aca="true" t="shared" si="26" ref="I66:I72">J66-H66</f>
        <v>0</v>
      </c>
      <c r="J66" s="19">
        <v>345000</v>
      </c>
      <c r="K66" s="19">
        <v>345000</v>
      </c>
      <c r="L66" s="19">
        <f aca="true" t="shared" si="27" ref="L66:L73">M66-K66</f>
        <v>0</v>
      </c>
      <c r="M66" s="19">
        <v>345000</v>
      </c>
    </row>
    <row r="67" spans="1:13" ht="125.25" customHeight="1">
      <c r="A67" s="16"/>
      <c r="B67" s="119"/>
      <c r="C67" s="119" t="s">
        <v>529</v>
      </c>
      <c r="D67" s="120" t="s">
        <v>528</v>
      </c>
      <c r="E67" s="121">
        <f>E68</f>
        <v>100000</v>
      </c>
      <c r="F67" s="121">
        <f t="shared" si="25"/>
        <v>0</v>
      </c>
      <c r="G67" s="121">
        <f>G68</f>
        <v>100000</v>
      </c>
      <c r="H67" s="121">
        <f>H68</f>
        <v>200000</v>
      </c>
      <c r="I67" s="121">
        <f t="shared" si="26"/>
        <v>0</v>
      </c>
      <c r="J67" s="121">
        <f>J68</f>
        <v>200000</v>
      </c>
      <c r="K67" s="121">
        <f>K68</f>
        <v>200000</v>
      </c>
      <c r="L67" s="121">
        <f t="shared" si="27"/>
        <v>0</v>
      </c>
      <c r="M67" s="121">
        <f>M68</f>
        <v>200000</v>
      </c>
    </row>
    <row r="68" spans="1:13" ht="150">
      <c r="A68" s="16"/>
      <c r="B68" s="16"/>
      <c r="C68" s="16" t="s">
        <v>116</v>
      </c>
      <c r="D68" s="18" t="s">
        <v>117</v>
      </c>
      <c r="E68" s="19">
        <v>100000</v>
      </c>
      <c r="F68" s="128">
        <f>G68-E68</f>
        <v>0</v>
      </c>
      <c r="G68" s="19">
        <v>100000</v>
      </c>
      <c r="H68" s="19">
        <v>200000</v>
      </c>
      <c r="I68" s="19">
        <f>J68-H68</f>
        <v>0</v>
      </c>
      <c r="J68" s="19">
        <v>200000</v>
      </c>
      <c r="K68" s="19">
        <v>200000</v>
      </c>
      <c r="L68" s="19">
        <f>M68-K68</f>
        <v>0</v>
      </c>
      <c r="M68" s="19">
        <v>200000</v>
      </c>
    </row>
    <row r="69" spans="1:13" ht="75">
      <c r="A69" s="16"/>
      <c r="B69" s="16"/>
      <c r="C69" s="16" t="s">
        <v>118</v>
      </c>
      <c r="D69" s="18" t="s">
        <v>119</v>
      </c>
      <c r="E69" s="19"/>
      <c r="F69" s="128">
        <f t="shared" si="25"/>
        <v>5000</v>
      </c>
      <c r="G69" s="19">
        <v>5000</v>
      </c>
      <c r="H69" s="19"/>
      <c r="I69" s="19">
        <f t="shared" si="26"/>
        <v>0</v>
      </c>
      <c r="J69" s="19"/>
      <c r="K69" s="19"/>
      <c r="L69" s="19">
        <f t="shared" si="27"/>
        <v>0</v>
      </c>
      <c r="M69" s="19"/>
    </row>
    <row r="70" spans="1:13" ht="56.25">
      <c r="A70" s="16"/>
      <c r="B70" s="16"/>
      <c r="C70" s="16" t="s">
        <v>120</v>
      </c>
      <c r="D70" s="18" t="s">
        <v>121</v>
      </c>
      <c r="E70" s="19">
        <v>50000</v>
      </c>
      <c r="F70" s="128">
        <f t="shared" si="25"/>
        <v>0</v>
      </c>
      <c r="G70" s="19">
        <v>50000</v>
      </c>
      <c r="H70" s="19">
        <v>85000</v>
      </c>
      <c r="I70" s="19">
        <f t="shared" si="26"/>
        <v>0</v>
      </c>
      <c r="J70" s="19">
        <v>85000</v>
      </c>
      <c r="K70" s="19">
        <v>75000</v>
      </c>
      <c r="L70" s="19">
        <f t="shared" si="27"/>
        <v>0</v>
      </c>
      <c r="M70" s="19">
        <v>75000</v>
      </c>
    </row>
    <row r="71" spans="1:13" ht="122.25" customHeight="1">
      <c r="A71" s="16"/>
      <c r="B71" s="16"/>
      <c r="C71" s="16" t="s">
        <v>122</v>
      </c>
      <c r="D71" s="18" t="s">
        <v>123</v>
      </c>
      <c r="E71" s="19">
        <v>895000</v>
      </c>
      <c r="F71" s="128">
        <f t="shared" si="25"/>
        <v>-381750</v>
      </c>
      <c r="G71" s="19">
        <f>895000-381750</f>
        <v>513250</v>
      </c>
      <c r="H71" s="19">
        <v>1395000</v>
      </c>
      <c r="I71" s="19">
        <f t="shared" si="26"/>
        <v>0</v>
      </c>
      <c r="J71" s="19">
        <v>1395000</v>
      </c>
      <c r="K71" s="19">
        <v>1395000</v>
      </c>
      <c r="L71" s="19">
        <f t="shared" si="27"/>
        <v>0</v>
      </c>
      <c r="M71" s="19">
        <v>1395000</v>
      </c>
    </row>
    <row r="72" spans="1:13" ht="150">
      <c r="A72" s="16"/>
      <c r="B72" s="16"/>
      <c r="C72" s="16" t="s">
        <v>124</v>
      </c>
      <c r="D72" s="18" t="s">
        <v>125</v>
      </c>
      <c r="E72" s="19">
        <v>60000</v>
      </c>
      <c r="F72" s="128">
        <f t="shared" si="25"/>
        <v>67500</v>
      </c>
      <c r="G72" s="19">
        <f>60000+67500</f>
        <v>127500</v>
      </c>
      <c r="H72" s="19">
        <v>260000</v>
      </c>
      <c r="I72" s="19">
        <f t="shared" si="26"/>
        <v>0</v>
      </c>
      <c r="J72" s="19">
        <v>260000</v>
      </c>
      <c r="K72" s="19">
        <v>260000</v>
      </c>
      <c r="L72" s="19">
        <f t="shared" si="27"/>
        <v>0</v>
      </c>
      <c r="M72" s="19">
        <v>260000</v>
      </c>
    </row>
    <row r="73" spans="1:13" ht="93.75">
      <c r="A73" s="16"/>
      <c r="B73" s="16"/>
      <c r="C73" s="16" t="s">
        <v>126</v>
      </c>
      <c r="D73" s="22" t="s">
        <v>127</v>
      </c>
      <c r="E73" s="19">
        <v>325000</v>
      </c>
      <c r="F73" s="128">
        <f t="shared" si="25"/>
        <v>175000</v>
      </c>
      <c r="G73" s="19">
        <f>325000+175000</f>
        <v>500000</v>
      </c>
      <c r="H73" s="19">
        <v>1675000</v>
      </c>
      <c r="I73" s="19">
        <f>J73-H73</f>
        <v>0</v>
      </c>
      <c r="J73" s="19">
        <v>1675000</v>
      </c>
      <c r="K73" s="19">
        <v>1675000</v>
      </c>
      <c r="L73" s="19">
        <f t="shared" si="27"/>
        <v>0</v>
      </c>
      <c r="M73" s="19">
        <v>1675000</v>
      </c>
    </row>
    <row r="74" spans="1:13" ht="75">
      <c r="A74" s="76"/>
      <c r="B74" s="7"/>
      <c r="C74" s="7" t="s">
        <v>128</v>
      </c>
      <c r="D74" s="8" t="s">
        <v>129</v>
      </c>
      <c r="E74" s="9">
        <f>E75+E77+E79+E85+E88</f>
        <v>156871000</v>
      </c>
      <c r="F74" s="9">
        <f>F75+F77+F79+F85+F88</f>
        <v>25929395</v>
      </c>
      <c r="G74" s="9">
        <f>G75+G77+G79+G85+G88</f>
        <v>182800395</v>
      </c>
      <c r="H74" s="9">
        <f aca="true" t="shared" si="28" ref="H74:M74">H75+H77+H79+H85+H88</f>
        <v>150562000</v>
      </c>
      <c r="I74" s="9">
        <f t="shared" si="28"/>
        <v>0</v>
      </c>
      <c r="J74" s="9">
        <f t="shared" si="28"/>
        <v>150562000</v>
      </c>
      <c r="K74" s="9">
        <f t="shared" si="28"/>
        <v>151949000</v>
      </c>
      <c r="L74" s="9">
        <f t="shared" si="28"/>
        <v>0</v>
      </c>
      <c r="M74" s="9">
        <f t="shared" si="28"/>
        <v>151949000</v>
      </c>
    </row>
    <row r="75" spans="1:13" ht="131.25">
      <c r="A75" s="16"/>
      <c r="B75" s="13"/>
      <c r="C75" s="13" t="s">
        <v>130</v>
      </c>
      <c r="D75" s="14" t="s">
        <v>131</v>
      </c>
      <c r="E75" s="15">
        <f aca="true" t="shared" si="29" ref="E75:M75">E76</f>
        <v>23821000</v>
      </c>
      <c r="F75" s="15">
        <f t="shared" si="29"/>
        <v>30256000</v>
      </c>
      <c r="G75" s="15">
        <f t="shared" si="29"/>
        <v>54077000</v>
      </c>
      <c r="H75" s="15">
        <f t="shared" si="29"/>
        <v>23896000</v>
      </c>
      <c r="I75" s="15">
        <f t="shared" si="29"/>
        <v>0</v>
      </c>
      <c r="J75" s="15">
        <f t="shared" si="29"/>
        <v>23896000</v>
      </c>
      <c r="K75" s="15">
        <f t="shared" si="29"/>
        <v>24345000</v>
      </c>
      <c r="L75" s="15">
        <f t="shared" si="29"/>
        <v>0</v>
      </c>
      <c r="M75" s="15">
        <f t="shared" si="29"/>
        <v>24345000</v>
      </c>
    </row>
    <row r="76" spans="1:13" ht="90.75" customHeight="1">
      <c r="A76" s="16"/>
      <c r="B76" s="16"/>
      <c r="C76" s="16" t="s">
        <v>132</v>
      </c>
      <c r="D76" s="18" t="s">
        <v>133</v>
      </c>
      <c r="E76" s="19">
        <v>23821000</v>
      </c>
      <c r="F76" s="128">
        <f>G76-E76</f>
        <v>30256000</v>
      </c>
      <c r="G76" s="19">
        <f>23821000+30256000</f>
        <v>54077000</v>
      </c>
      <c r="H76" s="19">
        <v>23896000</v>
      </c>
      <c r="I76" s="19">
        <f>J76-H76</f>
        <v>0</v>
      </c>
      <c r="J76" s="19">
        <v>23896000</v>
      </c>
      <c r="K76" s="19">
        <v>24345000</v>
      </c>
      <c r="L76" s="19">
        <f>M76-K76</f>
        <v>0</v>
      </c>
      <c r="M76" s="19">
        <v>24345000</v>
      </c>
    </row>
    <row r="77" spans="1:13" ht="37.5">
      <c r="A77" s="16"/>
      <c r="B77" s="13"/>
      <c r="C77" s="13" t="s">
        <v>134</v>
      </c>
      <c r="D77" s="14" t="s">
        <v>135</v>
      </c>
      <c r="E77" s="15">
        <f aca="true" t="shared" si="30" ref="E77:M77">E78</f>
        <v>73000</v>
      </c>
      <c r="F77" s="15">
        <f t="shared" si="30"/>
        <v>-64605</v>
      </c>
      <c r="G77" s="15">
        <f t="shared" si="30"/>
        <v>8395</v>
      </c>
      <c r="H77" s="15">
        <f t="shared" si="30"/>
        <v>64000</v>
      </c>
      <c r="I77" s="15">
        <f t="shared" si="30"/>
        <v>0</v>
      </c>
      <c r="J77" s="15">
        <f t="shared" si="30"/>
        <v>64000</v>
      </c>
      <c r="K77" s="15">
        <f t="shared" si="30"/>
        <v>63000</v>
      </c>
      <c r="L77" s="15">
        <f t="shared" si="30"/>
        <v>0</v>
      </c>
      <c r="M77" s="15">
        <f t="shared" si="30"/>
        <v>63000</v>
      </c>
    </row>
    <row r="78" spans="1:13" ht="69.75" customHeight="1">
      <c r="A78" s="16"/>
      <c r="B78" s="16"/>
      <c r="C78" s="16" t="s">
        <v>136</v>
      </c>
      <c r="D78" s="18" t="s">
        <v>137</v>
      </c>
      <c r="E78" s="19">
        <v>73000</v>
      </c>
      <c r="F78" s="128">
        <f>G78-E78</f>
        <v>-64605</v>
      </c>
      <c r="G78" s="19">
        <f>73000-64605</f>
        <v>8395</v>
      </c>
      <c r="H78" s="19">
        <v>64000</v>
      </c>
      <c r="I78" s="19">
        <f>J78-H78</f>
        <v>0</v>
      </c>
      <c r="J78" s="19">
        <v>64000</v>
      </c>
      <c r="K78" s="19">
        <v>63000</v>
      </c>
      <c r="L78" s="19">
        <f>M78-K78</f>
        <v>0</v>
      </c>
      <c r="M78" s="19">
        <v>63000</v>
      </c>
    </row>
    <row r="79" spans="1:13" ht="150">
      <c r="A79" s="16"/>
      <c r="B79" s="10"/>
      <c r="C79" s="10" t="s">
        <v>138</v>
      </c>
      <c r="D79" s="11" t="s">
        <v>139</v>
      </c>
      <c r="E79" s="12">
        <f>E80+E82+E83</f>
        <v>129584000</v>
      </c>
      <c r="F79" s="12">
        <f>F80+F82+F83</f>
        <v>-10700000</v>
      </c>
      <c r="G79" s="12">
        <f>G80+G82+G83</f>
        <v>118884000</v>
      </c>
      <c r="H79" s="12">
        <f aca="true" t="shared" si="31" ref="H79:M79">H80+H82+H83</f>
        <v>124933000</v>
      </c>
      <c r="I79" s="12">
        <f t="shared" si="31"/>
        <v>0</v>
      </c>
      <c r="J79" s="12">
        <f t="shared" si="31"/>
        <v>124933000</v>
      </c>
      <c r="K79" s="12">
        <f t="shared" si="31"/>
        <v>125629000</v>
      </c>
      <c r="L79" s="12">
        <f t="shared" si="31"/>
        <v>0</v>
      </c>
      <c r="M79" s="12">
        <f t="shared" si="31"/>
        <v>125629000</v>
      </c>
    </row>
    <row r="80" spans="1:13" ht="131.25">
      <c r="A80" s="16"/>
      <c r="B80" s="13"/>
      <c r="C80" s="13" t="s">
        <v>140</v>
      </c>
      <c r="D80" s="14" t="s">
        <v>141</v>
      </c>
      <c r="E80" s="15">
        <f aca="true" t="shared" si="32" ref="E80:M80">E81</f>
        <v>120000000</v>
      </c>
      <c r="F80" s="15">
        <f t="shared" si="32"/>
        <v>-24073000</v>
      </c>
      <c r="G80" s="15">
        <f t="shared" si="32"/>
        <v>95927000</v>
      </c>
      <c r="H80" s="15">
        <f t="shared" si="32"/>
        <v>115000000</v>
      </c>
      <c r="I80" s="15">
        <f t="shared" si="32"/>
        <v>0</v>
      </c>
      <c r="J80" s="15">
        <f t="shared" si="32"/>
        <v>115000000</v>
      </c>
      <c r="K80" s="15">
        <f t="shared" si="32"/>
        <v>115000000</v>
      </c>
      <c r="L80" s="15">
        <f t="shared" si="32"/>
        <v>0</v>
      </c>
      <c r="M80" s="15">
        <f t="shared" si="32"/>
        <v>115000000</v>
      </c>
    </row>
    <row r="81" spans="1:13" ht="125.25" customHeight="1">
      <c r="A81" s="16"/>
      <c r="B81" s="16"/>
      <c r="C81" s="16" t="s">
        <v>142</v>
      </c>
      <c r="D81" s="18" t="s">
        <v>143</v>
      </c>
      <c r="E81" s="19">
        <v>120000000</v>
      </c>
      <c r="F81" s="128">
        <f>G81-E81</f>
        <v>-24073000</v>
      </c>
      <c r="G81" s="19">
        <f>120000000-24073000</f>
        <v>95927000</v>
      </c>
      <c r="H81" s="19">
        <v>115000000</v>
      </c>
      <c r="I81" s="19">
        <f>J81-H81</f>
        <v>0</v>
      </c>
      <c r="J81" s="19">
        <v>115000000</v>
      </c>
      <c r="K81" s="19">
        <v>115000000</v>
      </c>
      <c r="L81" s="19">
        <f>M81-K81</f>
        <v>0</v>
      </c>
      <c r="M81" s="19">
        <v>115000000</v>
      </c>
    </row>
    <row r="82" spans="1:13" ht="120.75" customHeight="1">
      <c r="A82" s="16"/>
      <c r="B82" s="16"/>
      <c r="C82" s="16" t="s">
        <v>144</v>
      </c>
      <c r="D82" s="18" t="s">
        <v>145</v>
      </c>
      <c r="E82" s="19">
        <v>3586000</v>
      </c>
      <c r="F82" s="128">
        <f>G82-E82</f>
        <v>132000</v>
      </c>
      <c r="G82" s="19">
        <f>3586000+132000</f>
        <v>3718000</v>
      </c>
      <c r="H82" s="19">
        <v>3729000</v>
      </c>
      <c r="I82" s="19">
        <f>J82-H82</f>
        <v>0</v>
      </c>
      <c r="J82" s="19">
        <v>3729000</v>
      </c>
      <c r="K82" s="19">
        <v>3878000</v>
      </c>
      <c r="L82" s="19">
        <f>M82-K82</f>
        <v>0</v>
      </c>
      <c r="M82" s="19">
        <v>3878000</v>
      </c>
    </row>
    <row r="83" spans="1:13" ht="75">
      <c r="A83" s="16"/>
      <c r="B83" s="13"/>
      <c r="C83" s="13" t="s">
        <v>146</v>
      </c>
      <c r="D83" s="14" t="s">
        <v>147</v>
      </c>
      <c r="E83" s="15">
        <f aca="true" t="shared" si="33" ref="E83:M83">E84</f>
        <v>5998000</v>
      </c>
      <c r="F83" s="15">
        <f t="shared" si="33"/>
        <v>13241000</v>
      </c>
      <c r="G83" s="15">
        <f t="shared" si="33"/>
        <v>19239000</v>
      </c>
      <c r="H83" s="15">
        <f t="shared" si="33"/>
        <v>6204000</v>
      </c>
      <c r="I83" s="15">
        <f t="shared" si="33"/>
        <v>0</v>
      </c>
      <c r="J83" s="15">
        <f t="shared" si="33"/>
        <v>6204000</v>
      </c>
      <c r="K83" s="15">
        <f t="shared" si="33"/>
        <v>6751000</v>
      </c>
      <c r="L83" s="15">
        <f t="shared" si="33"/>
        <v>0</v>
      </c>
      <c r="M83" s="15">
        <f t="shared" si="33"/>
        <v>6751000</v>
      </c>
    </row>
    <row r="84" spans="1:13" ht="67.5" customHeight="1">
      <c r="A84" s="16"/>
      <c r="B84" s="16"/>
      <c r="C84" s="16" t="s">
        <v>148</v>
      </c>
      <c r="D84" s="18" t="s">
        <v>149</v>
      </c>
      <c r="E84" s="19">
        <v>5998000</v>
      </c>
      <c r="F84" s="128">
        <f>G84-E84</f>
        <v>13241000</v>
      </c>
      <c r="G84" s="19">
        <f>5998000+13241000</f>
        <v>19239000</v>
      </c>
      <c r="H84" s="19">
        <v>6204000</v>
      </c>
      <c r="I84" s="19">
        <f>J84-H84</f>
        <v>0</v>
      </c>
      <c r="J84" s="19">
        <v>6204000</v>
      </c>
      <c r="K84" s="19">
        <v>6751000</v>
      </c>
      <c r="L84" s="19">
        <f>M84-K84</f>
        <v>0</v>
      </c>
      <c r="M84" s="19">
        <v>6751000</v>
      </c>
    </row>
    <row r="85" spans="1:13" ht="51" customHeight="1">
      <c r="A85" s="16"/>
      <c r="B85" s="10"/>
      <c r="C85" s="10" t="s">
        <v>150</v>
      </c>
      <c r="D85" s="11" t="s">
        <v>151</v>
      </c>
      <c r="E85" s="12">
        <f aca="true" t="shared" si="34" ref="E85:M86">E86</f>
        <v>1293000</v>
      </c>
      <c r="F85" s="12">
        <f t="shared" si="34"/>
        <v>4538000</v>
      </c>
      <c r="G85" s="12">
        <f t="shared" si="34"/>
        <v>5831000</v>
      </c>
      <c r="H85" s="12">
        <f t="shared" si="34"/>
        <v>1306000</v>
      </c>
      <c r="I85" s="12">
        <f t="shared" si="34"/>
        <v>0</v>
      </c>
      <c r="J85" s="12">
        <f t="shared" si="34"/>
        <v>1306000</v>
      </c>
      <c r="K85" s="12">
        <f t="shared" si="34"/>
        <v>1549000</v>
      </c>
      <c r="L85" s="12">
        <f t="shared" si="34"/>
        <v>0</v>
      </c>
      <c r="M85" s="12">
        <f t="shared" si="34"/>
        <v>1549000</v>
      </c>
    </row>
    <row r="86" spans="1:13" ht="90" customHeight="1">
      <c r="A86" s="16"/>
      <c r="B86" s="13"/>
      <c r="C86" s="13" t="s">
        <v>152</v>
      </c>
      <c r="D86" s="14" t="s">
        <v>153</v>
      </c>
      <c r="E86" s="15">
        <f t="shared" si="34"/>
        <v>1293000</v>
      </c>
      <c r="F86" s="15">
        <f t="shared" si="34"/>
        <v>4538000</v>
      </c>
      <c r="G86" s="15">
        <f t="shared" si="34"/>
        <v>5831000</v>
      </c>
      <c r="H86" s="15">
        <f t="shared" si="34"/>
        <v>1306000</v>
      </c>
      <c r="I86" s="15">
        <f t="shared" si="34"/>
        <v>0</v>
      </c>
      <c r="J86" s="15">
        <f t="shared" si="34"/>
        <v>1306000</v>
      </c>
      <c r="K86" s="15">
        <f t="shared" si="34"/>
        <v>1549000</v>
      </c>
      <c r="L86" s="15">
        <f t="shared" si="34"/>
        <v>0</v>
      </c>
      <c r="M86" s="15">
        <f t="shared" si="34"/>
        <v>1549000</v>
      </c>
    </row>
    <row r="87" spans="1:13" ht="93.75">
      <c r="A87" s="16"/>
      <c r="B87" s="16"/>
      <c r="C87" s="16" t="s">
        <v>154</v>
      </c>
      <c r="D87" s="18" t="s">
        <v>155</v>
      </c>
      <c r="E87" s="19">
        <v>1293000</v>
      </c>
      <c r="F87" s="128">
        <f>G87-E87</f>
        <v>4538000</v>
      </c>
      <c r="G87" s="19">
        <f>1293000+4538000</f>
        <v>5831000</v>
      </c>
      <c r="H87" s="19">
        <v>1306000</v>
      </c>
      <c r="I87" s="19">
        <f>J87-H87</f>
        <v>0</v>
      </c>
      <c r="J87" s="19">
        <v>1306000</v>
      </c>
      <c r="K87" s="19">
        <v>1549000</v>
      </c>
      <c r="L87" s="19">
        <f>M87-K87</f>
        <v>0</v>
      </c>
      <c r="M87" s="19">
        <v>1549000</v>
      </c>
    </row>
    <row r="88" spans="1:13" ht="131.25">
      <c r="A88" s="16"/>
      <c r="B88" s="10"/>
      <c r="C88" s="10" t="s">
        <v>156</v>
      </c>
      <c r="D88" s="11" t="s">
        <v>157</v>
      </c>
      <c r="E88" s="12">
        <f aca="true" t="shared" si="35" ref="E88:M89">E89</f>
        <v>2100000</v>
      </c>
      <c r="F88" s="12">
        <f t="shared" si="35"/>
        <v>1900000</v>
      </c>
      <c r="G88" s="12">
        <f t="shared" si="35"/>
        <v>4000000</v>
      </c>
      <c r="H88" s="12">
        <f t="shared" si="35"/>
        <v>363000</v>
      </c>
      <c r="I88" s="12">
        <f t="shared" si="35"/>
        <v>0</v>
      </c>
      <c r="J88" s="12">
        <f t="shared" si="35"/>
        <v>363000</v>
      </c>
      <c r="K88" s="12">
        <f t="shared" si="35"/>
        <v>363000</v>
      </c>
      <c r="L88" s="12">
        <f t="shared" si="35"/>
        <v>0</v>
      </c>
      <c r="M88" s="12">
        <f t="shared" si="35"/>
        <v>363000</v>
      </c>
    </row>
    <row r="89" spans="1:13" ht="131.25">
      <c r="A89" s="16"/>
      <c r="B89" s="13"/>
      <c r="C89" s="13" t="s">
        <v>158</v>
      </c>
      <c r="D89" s="14" t="s">
        <v>159</v>
      </c>
      <c r="E89" s="15">
        <f t="shared" si="35"/>
        <v>2100000</v>
      </c>
      <c r="F89" s="15">
        <f t="shared" si="35"/>
        <v>1900000</v>
      </c>
      <c r="G89" s="15">
        <f t="shared" si="35"/>
        <v>4000000</v>
      </c>
      <c r="H89" s="15">
        <f t="shared" si="35"/>
        <v>363000</v>
      </c>
      <c r="I89" s="15">
        <f t="shared" si="35"/>
        <v>0</v>
      </c>
      <c r="J89" s="15">
        <f t="shared" si="35"/>
        <v>363000</v>
      </c>
      <c r="K89" s="15">
        <f t="shared" si="35"/>
        <v>363000</v>
      </c>
      <c r="L89" s="15">
        <f t="shared" si="35"/>
        <v>0</v>
      </c>
      <c r="M89" s="15">
        <f t="shared" si="35"/>
        <v>363000</v>
      </c>
    </row>
    <row r="90" spans="1:13" ht="147" customHeight="1">
      <c r="A90" s="16"/>
      <c r="B90" s="16"/>
      <c r="C90" s="16" t="s">
        <v>160</v>
      </c>
      <c r="D90" s="18" t="s">
        <v>161</v>
      </c>
      <c r="E90" s="19">
        <v>2100000</v>
      </c>
      <c r="F90" s="128">
        <f>G90-E90</f>
        <v>1900000</v>
      </c>
      <c r="G90" s="19">
        <f>395000+1705000+1900000</f>
        <v>4000000</v>
      </c>
      <c r="H90" s="19">
        <v>363000</v>
      </c>
      <c r="I90" s="19">
        <f>J90-H90</f>
        <v>0</v>
      </c>
      <c r="J90" s="19">
        <v>363000</v>
      </c>
      <c r="K90" s="19">
        <v>363000</v>
      </c>
      <c r="L90" s="19">
        <f>M90-K90</f>
        <v>0</v>
      </c>
      <c r="M90" s="19">
        <v>363000</v>
      </c>
    </row>
    <row r="91" spans="1:13" ht="42.75" customHeight="1">
      <c r="A91" s="76"/>
      <c r="B91" s="7"/>
      <c r="C91" s="7" t="s">
        <v>162</v>
      </c>
      <c r="D91" s="8" t="s">
        <v>163</v>
      </c>
      <c r="E91" s="9">
        <f aca="true" t="shared" si="36" ref="E91:M91">E92+E96+E102</f>
        <v>165536000</v>
      </c>
      <c r="F91" s="9">
        <f t="shared" si="36"/>
        <v>21830000</v>
      </c>
      <c r="G91" s="9">
        <f t="shared" si="36"/>
        <v>187366000</v>
      </c>
      <c r="H91" s="9">
        <f t="shared" si="36"/>
        <v>143365000</v>
      </c>
      <c r="I91" s="9">
        <f t="shared" si="36"/>
        <v>0</v>
      </c>
      <c r="J91" s="9">
        <f t="shared" si="36"/>
        <v>143365000</v>
      </c>
      <c r="K91" s="9">
        <f t="shared" si="36"/>
        <v>147003000</v>
      </c>
      <c r="L91" s="9">
        <f t="shared" si="36"/>
        <v>0</v>
      </c>
      <c r="M91" s="9">
        <f t="shared" si="36"/>
        <v>147003000</v>
      </c>
    </row>
    <row r="92" spans="1:13" ht="42" customHeight="1">
      <c r="A92" s="16"/>
      <c r="B92" s="13"/>
      <c r="C92" s="13" t="s">
        <v>164</v>
      </c>
      <c r="D92" s="14" t="s">
        <v>165</v>
      </c>
      <c r="E92" s="15">
        <f>E93+E94+E95</f>
        <v>25275000</v>
      </c>
      <c r="F92" s="15">
        <f>F93+F94+F95</f>
        <v>0</v>
      </c>
      <c r="G92" s="15">
        <f aca="true" t="shared" si="37" ref="G92:M92">G93+G94+G95</f>
        <v>25275000</v>
      </c>
      <c r="H92" s="15">
        <f t="shared" si="37"/>
        <v>26361000</v>
      </c>
      <c r="I92" s="15">
        <f t="shared" si="37"/>
        <v>0</v>
      </c>
      <c r="J92" s="15">
        <f t="shared" si="37"/>
        <v>26361000</v>
      </c>
      <c r="K92" s="15">
        <f t="shared" si="37"/>
        <v>27495000</v>
      </c>
      <c r="L92" s="15">
        <f t="shared" si="37"/>
        <v>0</v>
      </c>
      <c r="M92" s="15">
        <f t="shared" si="37"/>
        <v>27495000</v>
      </c>
    </row>
    <row r="93" spans="1:13" ht="45.75" customHeight="1">
      <c r="A93" s="16"/>
      <c r="B93" s="16"/>
      <c r="C93" s="16" t="s">
        <v>166</v>
      </c>
      <c r="D93" s="18" t="s">
        <v>167</v>
      </c>
      <c r="E93" s="19">
        <v>2299000</v>
      </c>
      <c r="F93" s="128">
        <f>G93-E93</f>
        <v>6701000</v>
      </c>
      <c r="G93" s="19">
        <f>2299000+6701000</f>
        <v>9000000</v>
      </c>
      <c r="H93" s="19">
        <v>2398000</v>
      </c>
      <c r="I93" s="19">
        <f>J93-H93</f>
        <v>0</v>
      </c>
      <c r="J93" s="19">
        <v>2398000</v>
      </c>
      <c r="K93" s="19">
        <v>2501000</v>
      </c>
      <c r="L93" s="19">
        <f>M93-K93</f>
        <v>0</v>
      </c>
      <c r="M93" s="19">
        <v>2501000</v>
      </c>
    </row>
    <row r="94" spans="1:13" ht="42.75" customHeight="1">
      <c r="A94" s="16"/>
      <c r="B94" s="16"/>
      <c r="C94" s="16" t="s">
        <v>168</v>
      </c>
      <c r="D94" s="18" t="s">
        <v>169</v>
      </c>
      <c r="E94" s="19">
        <v>1913000</v>
      </c>
      <c r="F94" s="128">
        <f>G94-E94</f>
        <v>587000</v>
      </c>
      <c r="G94" s="19">
        <f>1913000+587000</f>
        <v>2500000</v>
      </c>
      <c r="H94" s="19">
        <v>1995000</v>
      </c>
      <c r="I94" s="19">
        <f>J94-H94</f>
        <v>0</v>
      </c>
      <c r="J94" s="19">
        <v>1995000</v>
      </c>
      <c r="K94" s="19">
        <v>2081000</v>
      </c>
      <c r="L94" s="19">
        <f>M94-K94</f>
        <v>0</v>
      </c>
      <c r="M94" s="19">
        <v>2081000</v>
      </c>
    </row>
    <row r="95" spans="1:13" ht="44.25" customHeight="1">
      <c r="A95" s="16"/>
      <c r="B95" s="16"/>
      <c r="C95" s="16" t="s">
        <v>533</v>
      </c>
      <c r="D95" s="18" t="s">
        <v>534</v>
      </c>
      <c r="E95" s="19">
        <v>21063000</v>
      </c>
      <c r="F95" s="128">
        <f>G95-E95</f>
        <v>-7288000</v>
      </c>
      <c r="G95" s="19">
        <f>21063000-7288000</f>
        <v>13775000</v>
      </c>
      <c r="H95" s="19">
        <v>21968000</v>
      </c>
      <c r="I95" s="19">
        <f>J95-H95</f>
        <v>0</v>
      </c>
      <c r="J95" s="19">
        <v>21968000</v>
      </c>
      <c r="K95" s="19">
        <v>22913000</v>
      </c>
      <c r="L95" s="19">
        <f>M95-K95</f>
        <v>0</v>
      </c>
      <c r="M95" s="19">
        <v>22913000</v>
      </c>
    </row>
    <row r="96" spans="1:13" ht="28.5" customHeight="1">
      <c r="A96" s="16"/>
      <c r="B96" s="10"/>
      <c r="C96" s="10" t="s">
        <v>170</v>
      </c>
      <c r="D96" s="11" t="s">
        <v>171</v>
      </c>
      <c r="E96" s="12">
        <f>E97+E99+E100</f>
        <v>10474000</v>
      </c>
      <c r="F96" s="12">
        <f>F97+F99+F100</f>
        <v>69000</v>
      </c>
      <c r="G96" s="12">
        <f>G97+G99+G100</f>
        <v>10543000</v>
      </c>
      <c r="H96" s="12">
        <f aca="true" t="shared" si="38" ref="H96:M96">H97+H99+H100</f>
        <v>10474000</v>
      </c>
      <c r="I96" s="12">
        <f t="shared" si="38"/>
        <v>0</v>
      </c>
      <c r="J96" s="12">
        <f t="shared" si="38"/>
        <v>10474000</v>
      </c>
      <c r="K96" s="12">
        <f t="shared" si="38"/>
        <v>10474000</v>
      </c>
      <c r="L96" s="12">
        <f t="shared" si="38"/>
        <v>0</v>
      </c>
      <c r="M96" s="12">
        <f t="shared" si="38"/>
        <v>10474000</v>
      </c>
    </row>
    <row r="97" spans="1:13" ht="84.75" customHeight="1">
      <c r="A97" s="16"/>
      <c r="B97" s="13"/>
      <c r="C97" s="13" t="s">
        <v>172</v>
      </c>
      <c r="D97" s="14" t="s">
        <v>173</v>
      </c>
      <c r="E97" s="15">
        <f aca="true" t="shared" si="39" ref="E97:M97">E98</f>
        <v>10000000</v>
      </c>
      <c r="F97" s="15">
        <f t="shared" si="39"/>
        <v>0</v>
      </c>
      <c r="G97" s="15">
        <f t="shared" si="39"/>
        <v>10000000</v>
      </c>
      <c r="H97" s="15">
        <f t="shared" si="39"/>
        <v>10000000</v>
      </c>
      <c r="I97" s="15">
        <f t="shared" si="39"/>
        <v>0</v>
      </c>
      <c r="J97" s="15">
        <f t="shared" si="39"/>
        <v>10000000</v>
      </c>
      <c r="K97" s="15">
        <f t="shared" si="39"/>
        <v>10000000</v>
      </c>
      <c r="L97" s="15">
        <f t="shared" si="39"/>
        <v>0</v>
      </c>
      <c r="M97" s="15">
        <f t="shared" si="39"/>
        <v>10000000</v>
      </c>
    </row>
    <row r="98" spans="1:13" ht="102" customHeight="1">
      <c r="A98" s="16"/>
      <c r="B98" s="16"/>
      <c r="C98" s="16" t="s">
        <v>174</v>
      </c>
      <c r="D98" s="18" t="s">
        <v>175</v>
      </c>
      <c r="E98" s="19">
        <v>10000000</v>
      </c>
      <c r="F98" s="128">
        <f>G98-E98</f>
        <v>0</v>
      </c>
      <c r="G98" s="19">
        <v>10000000</v>
      </c>
      <c r="H98" s="19">
        <v>10000000</v>
      </c>
      <c r="I98" s="19">
        <f>J98-H98</f>
        <v>0</v>
      </c>
      <c r="J98" s="19">
        <v>10000000</v>
      </c>
      <c r="K98" s="19">
        <v>10000000</v>
      </c>
      <c r="L98" s="19">
        <f>M98-K98</f>
        <v>0</v>
      </c>
      <c r="M98" s="19">
        <v>10000000</v>
      </c>
    </row>
    <row r="99" spans="1:13" ht="56.25">
      <c r="A99" s="16"/>
      <c r="B99" s="16"/>
      <c r="C99" s="16" t="s">
        <v>176</v>
      </c>
      <c r="D99" s="18" t="s">
        <v>177</v>
      </c>
      <c r="E99" s="19">
        <v>74000</v>
      </c>
      <c r="F99" s="128">
        <f>G99-E99</f>
        <v>-11000</v>
      </c>
      <c r="G99" s="19">
        <f>74000-11000</f>
        <v>63000</v>
      </c>
      <c r="H99" s="19">
        <v>74000</v>
      </c>
      <c r="I99" s="19">
        <f>J99-H99</f>
        <v>0</v>
      </c>
      <c r="J99" s="19">
        <v>74000</v>
      </c>
      <c r="K99" s="19">
        <v>74000</v>
      </c>
      <c r="L99" s="19">
        <f>M99-K99</f>
        <v>0</v>
      </c>
      <c r="M99" s="19">
        <v>74000</v>
      </c>
    </row>
    <row r="100" spans="1:13" ht="84.75" customHeight="1">
      <c r="A100" s="16"/>
      <c r="B100" s="13"/>
      <c r="C100" s="13" t="s">
        <v>178</v>
      </c>
      <c r="D100" s="14" t="s">
        <v>179</v>
      </c>
      <c r="E100" s="15">
        <f aca="true" t="shared" si="40" ref="E100:M100">E101</f>
        <v>400000</v>
      </c>
      <c r="F100" s="15">
        <f t="shared" si="40"/>
        <v>80000</v>
      </c>
      <c r="G100" s="15">
        <f t="shared" si="40"/>
        <v>480000</v>
      </c>
      <c r="H100" s="15">
        <f t="shared" si="40"/>
        <v>400000</v>
      </c>
      <c r="I100" s="15">
        <f t="shared" si="40"/>
        <v>0</v>
      </c>
      <c r="J100" s="15">
        <f t="shared" si="40"/>
        <v>400000</v>
      </c>
      <c r="K100" s="15">
        <f t="shared" si="40"/>
        <v>400000</v>
      </c>
      <c r="L100" s="15">
        <f t="shared" si="40"/>
        <v>0</v>
      </c>
      <c r="M100" s="15">
        <f t="shared" si="40"/>
        <v>400000</v>
      </c>
    </row>
    <row r="101" spans="1:13" ht="93.75">
      <c r="A101" s="16"/>
      <c r="B101" s="16"/>
      <c r="C101" s="16" t="s">
        <v>180</v>
      </c>
      <c r="D101" s="18" t="s">
        <v>181</v>
      </c>
      <c r="E101" s="19">
        <v>400000</v>
      </c>
      <c r="F101" s="128">
        <f>G101-E101</f>
        <v>80000</v>
      </c>
      <c r="G101" s="19">
        <f>400000+80000</f>
        <v>480000</v>
      </c>
      <c r="H101" s="19">
        <v>400000</v>
      </c>
      <c r="I101" s="19">
        <f>J101-H101</f>
        <v>0</v>
      </c>
      <c r="J101" s="19">
        <v>400000</v>
      </c>
      <c r="K101" s="19">
        <v>400000</v>
      </c>
      <c r="L101" s="19">
        <f>M101-K101</f>
        <v>0</v>
      </c>
      <c r="M101" s="19">
        <v>400000</v>
      </c>
    </row>
    <row r="102" spans="1:13" ht="18.75">
      <c r="A102" s="16"/>
      <c r="B102" s="10"/>
      <c r="C102" s="10" t="s">
        <v>182</v>
      </c>
      <c r="D102" s="11" t="s">
        <v>183</v>
      </c>
      <c r="E102" s="12">
        <f aca="true" t="shared" si="41" ref="E102:M102">E103</f>
        <v>129787000</v>
      </c>
      <c r="F102" s="12">
        <f t="shared" si="41"/>
        <v>21761000</v>
      </c>
      <c r="G102" s="12">
        <f t="shared" si="41"/>
        <v>151548000</v>
      </c>
      <c r="H102" s="12">
        <f t="shared" si="41"/>
        <v>106530000</v>
      </c>
      <c r="I102" s="12">
        <f t="shared" si="41"/>
        <v>0</v>
      </c>
      <c r="J102" s="12">
        <f t="shared" si="41"/>
        <v>106530000</v>
      </c>
      <c r="K102" s="12">
        <f t="shared" si="41"/>
        <v>109034000</v>
      </c>
      <c r="L102" s="12">
        <f t="shared" si="41"/>
        <v>0</v>
      </c>
      <c r="M102" s="12">
        <f t="shared" si="41"/>
        <v>109034000</v>
      </c>
    </row>
    <row r="103" spans="1:13" ht="37.5">
      <c r="A103" s="16"/>
      <c r="B103" s="13"/>
      <c r="C103" s="13" t="s">
        <v>184</v>
      </c>
      <c r="D103" s="14" t="s">
        <v>185</v>
      </c>
      <c r="E103" s="15">
        <f>E104+E105+E106</f>
        <v>129787000</v>
      </c>
      <c r="F103" s="15">
        <f>F104+F105+F106</f>
        <v>21761000</v>
      </c>
      <c r="G103" s="15">
        <f>G104+G105+G106</f>
        <v>151548000</v>
      </c>
      <c r="H103" s="15">
        <f aca="true" t="shared" si="42" ref="H103:M103">H104+H105+H106</f>
        <v>106530000</v>
      </c>
      <c r="I103" s="15">
        <f t="shared" si="42"/>
        <v>0</v>
      </c>
      <c r="J103" s="15">
        <f t="shared" si="42"/>
        <v>106530000</v>
      </c>
      <c r="K103" s="15">
        <f t="shared" si="42"/>
        <v>109034000</v>
      </c>
      <c r="L103" s="15">
        <f t="shared" si="42"/>
        <v>0</v>
      </c>
      <c r="M103" s="15">
        <f t="shared" si="42"/>
        <v>109034000</v>
      </c>
    </row>
    <row r="104" spans="1:13" ht="93.75">
      <c r="A104" s="16"/>
      <c r="B104" s="16"/>
      <c r="C104" s="16" t="s">
        <v>186</v>
      </c>
      <c r="D104" s="18" t="s">
        <v>187</v>
      </c>
      <c r="E104" s="19">
        <v>4915000</v>
      </c>
      <c r="F104" s="128">
        <f>G104-E104</f>
        <v>3685000</v>
      </c>
      <c r="G104" s="19">
        <f>2115000+2800000+3685000</f>
        <v>8600000</v>
      </c>
      <c r="H104" s="19">
        <v>2265000</v>
      </c>
      <c r="I104" s="19">
        <f>J104-H104</f>
        <v>0</v>
      </c>
      <c r="J104" s="19">
        <v>2265000</v>
      </c>
      <c r="K104" s="19">
        <v>2265000</v>
      </c>
      <c r="L104" s="19">
        <f>M104-K104</f>
        <v>0</v>
      </c>
      <c r="M104" s="19">
        <v>2265000</v>
      </c>
    </row>
    <row r="105" spans="1:13" ht="75">
      <c r="A105" s="16"/>
      <c r="B105" s="16"/>
      <c r="C105" s="16" t="s">
        <v>188</v>
      </c>
      <c r="D105" s="18" t="s">
        <v>189</v>
      </c>
      <c r="E105" s="19">
        <v>112408000</v>
      </c>
      <c r="F105" s="128">
        <f>G105-E105</f>
        <v>18076000</v>
      </c>
      <c r="G105" s="19">
        <f>85208000+27200000+18076000</f>
        <v>130484000</v>
      </c>
      <c r="H105" s="19">
        <v>91649000</v>
      </c>
      <c r="I105" s="19">
        <f>J105-H105</f>
        <v>0</v>
      </c>
      <c r="J105" s="19">
        <v>91649000</v>
      </c>
      <c r="K105" s="19">
        <v>94153000</v>
      </c>
      <c r="L105" s="19">
        <f>M105-K105</f>
        <v>0</v>
      </c>
      <c r="M105" s="19">
        <v>94153000</v>
      </c>
    </row>
    <row r="106" spans="1:13" ht="75">
      <c r="A106" s="16"/>
      <c r="B106" s="16"/>
      <c r="C106" s="16" t="s">
        <v>190</v>
      </c>
      <c r="D106" s="18" t="s">
        <v>191</v>
      </c>
      <c r="E106" s="19">
        <v>12464000</v>
      </c>
      <c r="F106" s="128">
        <f>G106-E106</f>
        <v>0</v>
      </c>
      <c r="G106" s="19">
        <v>12464000</v>
      </c>
      <c r="H106" s="19">
        <v>12616000</v>
      </c>
      <c r="I106" s="19">
        <f>J106-H106</f>
        <v>0</v>
      </c>
      <c r="J106" s="19">
        <v>12616000</v>
      </c>
      <c r="K106" s="19">
        <v>12616000</v>
      </c>
      <c r="L106" s="19">
        <f>M106-K106</f>
        <v>0</v>
      </c>
      <c r="M106" s="19">
        <v>12616000</v>
      </c>
    </row>
    <row r="107" spans="1:13" ht="56.25">
      <c r="A107" s="76"/>
      <c r="B107" s="7"/>
      <c r="C107" s="7" t="s">
        <v>192</v>
      </c>
      <c r="D107" s="8" t="s">
        <v>193</v>
      </c>
      <c r="E107" s="9">
        <f aca="true" t="shared" si="43" ref="E107:M107">E108+E118</f>
        <v>30505000</v>
      </c>
      <c r="F107" s="9">
        <f t="shared" si="43"/>
        <v>7200</v>
      </c>
      <c r="G107" s="9">
        <f t="shared" si="43"/>
        <v>30512200</v>
      </c>
      <c r="H107" s="9">
        <f t="shared" si="43"/>
        <v>27182000</v>
      </c>
      <c r="I107" s="9">
        <f t="shared" si="43"/>
        <v>0</v>
      </c>
      <c r="J107" s="9">
        <f t="shared" si="43"/>
        <v>27182000</v>
      </c>
      <c r="K107" s="9">
        <f t="shared" si="43"/>
        <v>27378000</v>
      </c>
      <c r="L107" s="9">
        <f t="shared" si="43"/>
        <v>0</v>
      </c>
      <c r="M107" s="9">
        <f t="shared" si="43"/>
        <v>27378000</v>
      </c>
    </row>
    <row r="108" spans="1:13" ht="30.75" customHeight="1">
      <c r="A108" s="16"/>
      <c r="B108" s="10"/>
      <c r="C108" s="10" t="s">
        <v>194</v>
      </c>
      <c r="D108" s="11" t="s">
        <v>195</v>
      </c>
      <c r="E108" s="12">
        <f>E109+E110+E111+E112+E114+E116</f>
        <v>4505000</v>
      </c>
      <c r="F108" s="12">
        <f>F109+F110+F111+F112+F114+F116</f>
        <v>7200</v>
      </c>
      <c r="G108" s="12">
        <f aca="true" t="shared" si="44" ref="G108:M108">G109+G110+G111+G112+G114+G116</f>
        <v>4512200</v>
      </c>
      <c r="H108" s="12">
        <f t="shared" si="44"/>
        <v>4564000</v>
      </c>
      <c r="I108" s="12">
        <f t="shared" si="44"/>
        <v>0</v>
      </c>
      <c r="J108" s="12">
        <f t="shared" si="44"/>
        <v>4564000</v>
      </c>
      <c r="K108" s="12">
        <f t="shared" si="44"/>
        <v>4632000</v>
      </c>
      <c r="L108" s="12">
        <f t="shared" si="44"/>
        <v>0</v>
      </c>
      <c r="M108" s="12">
        <f t="shared" si="44"/>
        <v>4632000</v>
      </c>
    </row>
    <row r="109" spans="1:13" ht="95.25" customHeight="1">
      <c r="A109" s="16"/>
      <c r="B109" s="16"/>
      <c r="C109" s="42" t="s">
        <v>570</v>
      </c>
      <c r="D109" s="18" t="s">
        <v>569</v>
      </c>
      <c r="E109" s="19"/>
      <c r="F109" s="128">
        <f>G109-E109</f>
        <v>7000</v>
      </c>
      <c r="G109" s="19">
        <v>7000</v>
      </c>
      <c r="H109" s="19"/>
      <c r="I109" s="19"/>
      <c r="J109" s="19"/>
      <c r="K109" s="19"/>
      <c r="L109" s="19"/>
      <c r="M109" s="19"/>
    </row>
    <row r="110" spans="1:13" ht="48" customHeight="1">
      <c r="A110" s="16"/>
      <c r="B110" s="16"/>
      <c r="C110" s="122" t="s">
        <v>332</v>
      </c>
      <c r="D110" s="18" t="s">
        <v>333</v>
      </c>
      <c r="E110" s="19">
        <v>200000</v>
      </c>
      <c r="F110" s="128">
        <f>G110-E110</f>
        <v>0</v>
      </c>
      <c r="G110" s="19">
        <v>200000</v>
      </c>
      <c r="H110" s="19">
        <v>200000</v>
      </c>
      <c r="I110" s="19">
        <f>J110-H110</f>
        <v>0</v>
      </c>
      <c r="J110" s="19">
        <v>200000</v>
      </c>
      <c r="K110" s="19">
        <v>200000</v>
      </c>
      <c r="L110" s="19">
        <f>M110-K110</f>
        <v>0</v>
      </c>
      <c r="M110" s="19">
        <v>200000</v>
      </c>
    </row>
    <row r="111" spans="1:13" ht="48" customHeight="1">
      <c r="A111" s="16"/>
      <c r="B111" s="16"/>
      <c r="C111" s="130" t="s">
        <v>571</v>
      </c>
      <c r="D111" s="18" t="s">
        <v>572</v>
      </c>
      <c r="E111" s="19"/>
      <c r="F111" s="128">
        <f>G111-E111</f>
        <v>200</v>
      </c>
      <c r="G111" s="19">
        <v>200</v>
      </c>
      <c r="H111" s="19"/>
      <c r="I111" s="19"/>
      <c r="J111" s="19"/>
      <c r="K111" s="19"/>
      <c r="L111" s="19"/>
      <c r="M111" s="19"/>
    </row>
    <row r="112" spans="1:13" ht="56.25">
      <c r="A112" s="16"/>
      <c r="B112" s="13"/>
      <c r="C112" s="13" t="s">
        <v>324</v>
      </c>
      <c r="D112" s="14" t="s">
        <v>196</v>
      </c>
      <c r="E112" s="15">
        <f aca="true" t="shared" si="45" ref="E112:M112">E113</f>
        <v>55000</v>
      </c>
      <c r="F112" s="15">
        <f t="shared" si="45"/>
        <v>0</v>
      </c>
      <c r="G112" s="15">
        <f t="shared" si="45"/>
        <v>55000</v>
      </c>
      <c r="H112" s="15">
        <f t="shared" si="45"/>
        <v>54000</v>
      </c>
      <c r="I112" s="15">
        <f t="shared" si="45"/>
        <v>0</v>
      </c>
      <c r="J112" s="15">
        <f t="shared" si="45"/>
        <v>54000</v>
      </c>
      <c r="K112" s="15">
        <f t="shared" si="45"/>
        <v>60000</v>
      </c>
      <c r="L112" s="15">
        <f t="shared" si="45"/>
        <v>0</v>
      </c>
      <c r="M112" s="15">
        <f t="shared" si="45"/>
        <v>60000</v>
      </c>
    </row>
    <row r="113" spans="1:13" ht="150">
      <c r="A113" s="16"/>
      <c r="B113" s="16"/>
      <c r="C113" s="16" t="s">
        <v>197</v>
      </c>
      <c r="D113" s="18" t="s">
        <v>198</v>
      </c>
      <c r="E113" s="19">
        <v>55000</v>
      </c>
      <c r="F113" s="128">
        <f>G113-E113</f>
        <v>0</v>
      </c>
      <c r="G113" s="19">
        <v>55000</v>
      </c>
      <c r="H113" s="19">
        <v>54000</v>
      </c>
      <c r="I113" s="19">
        <f>J113-H113</f>
        <v>0</v>
      </c>
      <c r="J113" s="19">
        <v>54000</v>
      </c>
      <c r="K113" s="19">
        <v>60000</v>
      </c>
      <c r="L113" s="19">
        <f>M113-K113</f>
        <v>0</v>
      </c>
      <c r="M113" s="19">
        <v>60000</v>
      </c>
    </row>
    <row r="114" spans="1:13" ht="56.25">
      <c r="A114" s="16"/>
      <c r="B114" s="13"/>
      <c r="C114" s="13" t="s">
        <v>199</v>
      </c>
      <c r="D114" s="14" t="s">
        <v>200</v>
      </c>
      <c r="E114" s="15">
        <f aca="true" t="shared" si="46" ref="E114:M114">E115</f>
        <v>453000</v>
      </c>
      <c r="F114" s="15">
        <f t="shared" si="46"/>
        <v>0</v>
      </c>
      <c r="G114" s="15">
        <f t="shared" si="46"/>
        <v>453000</v>
      </c>
      <c r="H114" s="15">
        <f t="shared" si="46"/>
        <v>476000</v>
      </c>
      <c r="I114" s="15">
        <f t="shared" si="46"/>
        <v>0</v>
      </c>
      <c r="J114" s="15">
        <f t="shared" si="46"/>
        <v>476000</v>
      </c>
      <c r="K114" s="15">
        <f t="shared" si="46"/>
        <v>500000</v>
      </c>
      <c r="L114" s="15">
        <f t="shared" si="46"/>
        <v>0</v>
      </c>
      <c r="M114" s="15">
        <f t="shared" si="46"/>
        <v>500000</v>
      </c>
    </row>
    <row r="115" spans="1:13" ht="112.5">
      <c r="A115" s="16"/>
      <c r="B115" s="16"/>
      <c r="C115" s="16" t="s">
        <v>201</v>
      </c>
      <c r="D115" s="18" t="s">
        <v>202</v>
      </c>
      <c r="E115" s="19">
        <v>453000</v>
      </c>
      <c r="F115" s="128">
        <f>G115-E115</f>
        <v>0</v>
      </c>
      <c r="G115" s="19">
        <v>453000</v>
      </c>
      <c r="H115" s="19">
        <v>476000</v>
      </c>
      <c r="I115" s="19">
        <f>J115-H115</f>
        <v>0</v>
      </c>
      <c r="J115" s="19">
        <v>476000</v>
      </c>
      <c r="K115" s="19">
        <v>500000</v>
      </c>
      <c r="L115" s="19">
        <f>M115-K115</f>
        <v>0</v>
      </c>
      <c r="M115" s="19">
        <v>500000</v>
      </c>
    </row>
    <row r="116" spans="1:13" ht="37.5">
      <c r="A116" s="16"/>
      <c r="B116" s="13"/>
      <c r="C116" s="13" t="s">
        <v>203</v>
      </c>
      <c r="D116" s="14" t="s">
        <v>204</v>
      </c>
      <c r="E116" s="15">
        <f aca="true" t="shared" si="47" ref="E116:M116">E117</f>
        <v>3797000</v>
      </c>
      <c r="F116" s="15">
        <f t="shared" si="47"/>
        <v>0</v>
      </c>
      <c r="G116" s="15">
        <f t="shared" si="47"/>
        <v>3797000</v>
      </c>
      <c r="H116" s="15">
        <f t="shared" si="47"/>
        <v>3834000</v>
      </c>
      <c r="I116" s="15">
        <f t="shared" si="47"/>
        <v>0</v>
      </c>
      <c r="J116" s="15">
        <f t="shared" si="47"/>
        <v>3834000</v>
      </c>
      <c r="K116" s="15">
        <f t="shared" si="47"/>
        <v>3872000</v>
      </c>
      <c r="L116" s="15">
        <f t="shared" si="47"/>
        <v>0</v>
      </c>
      <c r="M116" s="15">
        <f t="shared" si="47"/>
        <v>3872000</v>
      </c>
    </row>
    <row r="117" spans="1:13" ht="56.25">
      <c r="A117" s="16"/>
      <c r="B117" s="16"/>
      <c r="C117" s="16" t="s">
        <v>205</v>
      </c>
      <c r="D117" s="18" t="s">
        <v>206</v>
      </c>
      <c r="E117" s="19">
        <v>3797000</v>
      </c>
      <c r="F117" s="131">
        <f>G117-E117</f>
        <v>0</v>
      </c>
      <c r="G117" s="19">
        <v>3797000</v>
      </c>
      <c r="H117" s="19">
        <v>3834000</v>
      </c>
      <c r="I117" s="19">
        <f>J117-H117</f>
        <v>0</v>
      </c>
      <c r="J117" s="19">
        <v>3834000</v>
      </c>
      <c r="K117" s="19">
        <v>3872000</v>
      </c>
      <c r="L117" s="19">
        <f>M117-K117</f>
        <v>0</v>
      </c>
      <c r="M117" s="19">
        <v>3872000</v>
      </c>
    </row>
    <row r="118" spans="1:13" ht="37.5">
      <c r="A118" s="16"/>
      <c r="B118" s="10"/>
      <c r="C118" s="10" t="s">
        <v>207</v>
      </c>
      <c r="D118" s="11" t="s">
        <v>208</v>
      </c>
      <c r="E118" s="12">
        <f aca="true" t="shared" si="48" ref="E118:M119">E119</f>
        <v>26000000</v>
      </c>
      <c r="F118" s="12">
        <f t="shared" si="48"/>
        <v>0</v>
      </c>
      <c r="G118" s="12">
        <f t="shared" si="48"/>
        <v>26000000</v>
      </c>
      <c r="H118" s="12">
        <f t="shared" si="48"/>
        <v>22618000</v>
      </c>
      <c r="I118" s="12">
        <f t="shared" si="48"/>
        <v>0</v>
      </c>
      <c r="J118" s="12">
        <f t="shared" si="48"/>
        <v>22618000</v>
      </c>
      <c r="K118" s="12">
        <f t="shared" si="48"/>
        <v>22746000</v>
      </c>
      <c r="L118" s="12">
        <f t="shared" si="48"/>
        <v>0</v>
      </c>
      <c r="M118" s="12">
        <f t="shared" si="48"/>
        <v>22746000</v>
      </c>
    </row>
    <row r="119" spans="1:13" ht="37.5">
      <c r="A119" s="16"/>
      <c r="B119" s="13"/>
      <c r="C119" s="13" t="s">
        <v>209</v>
      </c>
      <c r="D119" s="14" t="s">
        <v>210</v>
      </c>
      <c r="E119" s="15">
        <f t="shared" si="48"/>
        <v>26000000</v>
      </c>
      <c r="F119" s="15">
        <f t="shared" si="48"/>
        <v>0</v>
      </c>
      <c r="G119" s="15">
        <f t="shared" si="48"/>
        <v>26000000</v>
      </c>
      <c r="H119" s="15">
        <f t="shared" si="48"/>
        <v>22618000</v>
      </c>
      <c r="I119" s="15">
        <f t="shared" si="48"/>
        <v>0</v>
      </c>
      <c r="J119" s="15">
        <f t="shared" si="48"/>
        <v>22618000</v>
      </c>
      <c r="K119" s="15">
        <f t="shared" si="48"/>
        <v>22746000</v>
      </c>
      <c r="L119" s="15">
        <f t="shared" si="48"/>
        <v>0</v>
      </c>
      <c r="M119" s="15">
        <f t="shared" si="48"/>
        <v>22746000</v>
      </c>
    </row>
    <row r="120" spans="1:13" ht="37.5">
      <c r="A120" s="16"/>
      <c r="B120" s="16"/>
      <c r="C120" s="16" t="s">
        <v>211</v>
      </c>
      <c r="D120" s="18" t="s">
        <v>212</v>
      </c>
      <c r="E120" s="19">
        <v>26000000</v>
      </c>
      <c r="F120" s="131">
        <f>G120-E120</f>
        <v>0</v>
      </c>
      <c r="G120" s="19">
        <f>22397000+3603000</f>
        <v>26000000</v>
      </c>
      <c r="H120" s="19">
        <v>22618000</v>
      </c>
      <c r="I120" s="19">
        <f>J120-H120</f>
        <v>0</v>
      </c>
      <c r="J120" s="19">
        <v>22618000</v>
      </c>
      <c r="K120" s="19">
        <v>22746000</v>
      </c>
      <c r="L120" s="19">
        <f>M120-K120</f>
        <v>0</v>
      </c>
      <c r="M120" s="19">
        <v>22746000</v>
      </c>
    </row>
    <row r="121" spans="1:13" ht="52.5" customHeight="1">
      <c r="A121" s="76"/>
      <c r="B121" s="7"/>
      <c r="C121" s="7" t="s">
        <v>213</v>
      </c>
      <c r="D121" s="8" t="s">
        <v>214</v>
      </c>
      <c r="E121" s="9">
        <f>E122+E127</f>
        <v>14206400</v>
      </c>
      <c r="F121" s="9">
        <f>F122+F127</f>
        <v>7755</v>
      </c>
      <c r="G121" s="9">
        <f>G122+G127</f>
        <v>14214155</v>
      </c>
      <c r="H121" s="9">
        <f aca="true" t="shared" si="49" ref="H121:M121">H122+H127</f>
        <v>10788000</v>
      </c>
      <c r="I121" s="9">
        <f t="shared" si="49"/>
        <v>0</v>
      </c>
      <c r="J121" s="9">
        <f t="shared" si="49"/>
        <v>10788000</v>
      </c>
      <c r="K121" s="9">
        <f t="shared" si="49"/>
        <v>10983000</v>
      </c>
      <c r="L121" s="9">
        <f t="shared" si="49"/>
        <v>0</v>
      </c>
      <c r="M121" s="9">
        <f t="shared" si="49"/>
        <v>10983000</v>
      </c>
    </row>
    <row r="122" spans="1:13" ht="131.25">
      <c r="A122" s="16"/>
      <c r="B122" s="10"/>
      <c r="C122" s="10" t="s">
        <v>215</v>
      </c>
      <c r="D122" s="11" t="s">
        <v>216</v>
      </c>
      <c r="E122" s="12">
        <f>E123+E125</f>
        <v>3600400</v>
      </c>
      <c r="F122" s="12">
        <f>F123+F125</f>
        <v>7755</v>
      </c>
      <c r="G122" s="12">
        <f>G123+G125</f>
        <v>3608155</v>
      </c>
      <c r="H122" s="12">
        <f aca="true" t="shared" si="50" ref="H122:M122">H123+H125</f>
        <v>0</v>
      </c>
      <c r="I122" s="12">
        <f t="shared" si="50"/>
        <v>0</v>
      </c>
      <c r="J122" s="12">
        <f t="shared" si="50"/>
        <v>0</v>
      </c>
      <c r="K122" s="12">
        <f t="shared" si="50"/>
        <v>0</v>
      </c>
      <c r="L122" s="12">
        <f t="shared" si="50"/>
        <v>0</v>
      </c>
      <c r="M122" s="12">
        <f t="shared" si="50"/>
        <v>0</v>
      </c>
    </row>
    <row r="123" spans="1:13" ht="187.5">
      <c r="A123" s="16"/>
      <c r="B123" s="13"/>
      <c r="C123" s="13" t="s">
        <v>217</v>
      </c>
      <c r="D123" s="14" t="s">
        <v>218</v>
      </c>
      <c r="E123" s="15">
        <f aca="true" t="shared" si="51" ref="E123:M123">E124</f>
        <v>3300400</v>
      </c>
      <c r="F123" s="15">
        <f t="shared" si="51"/>
        <v>7755</v>
      </c>
      <c r="G123" s="15">
        <f t="shared" si="51"/>
        <v>3308155</v>
      </c>
      <c r="H123" s="15">
        <f t="shared" si="51"/>
        <v>0</v>
      </c>
      <c r="I123" s="15">
        <f t="shared" si="51"/>
        <v>0</v>
      </c>
      <c r="J123" s="15">
        <f t="shared" si="51"/>
        <v>0</v>
      </c>
      <c r="K123" s="15">
        <f t="shared" si="51"/>
        <v>0</v>
      </c>
      <c r="L123" s="15">
        <f t="shared" si="51"/>
        <v>0</v>
      </c>
      <c r="M123" s="15">
        <f t="shared" si="51"/>
        <v>0</v>
      </c>
    </row>
    <row r="124" spans="1:13" ht="187.5">
      <c r="A124" s="16"/>
      <c r="B124" s="16"/>
      <c r="C124" s="54" t="s">
        <v>335</v>
      </c>
      <c r="D124" s="56" t="s">
        <v>334</v>
      </c>
      <c r="E124" s="19">
        <v>3300400</v>
      </c>
      <c r="F124" s="128">
        <f>G124-E124</f>
        <v>7755</v>
      </c>
      <c r="G124" s="131">
        <f>159400+3141000+7755</f>
        <v>3308155</v>
      </c>
      <c r="H124" s="19"/>
      <c r="I124" s="19">
        <f>J124-H124</f>
        <v>0</v>
      </c>
      <c r="J124" s="19"/>
      <c r="K124" s="19"/>
      <c r="L124" s="19">
        <f>M124-K124</f>
        <v>0</v>
      </c>
      <c r="M124" s="19"/>
    </row>
    <row r="125" spans="1:13" ht="187.5">
      <c r="A125" s="16"/>
      <c r="B125" s="13"/>
      <c r="C125" s="13" t="s">
        <v>219</v>
      </c>
      <c r="D125" s="14" t="s">
        <v>220</v>
      </c>
      <c r="E125" s="15">
        <f aca="true" t="shared" si="52" ref="E125:M125">E126</f>
        <v>300000</v>
      </c>
      <c r="F125" s="15">
        <f t="shared" si="52"/>
        <v>0</v>
      </c>
      <c r="G125" s="15">
        <f t="shared" si="52"/>
        <v>300000</v>
      </c>
      <c r="H125" s="15">
        <f t="shared" si="52"/>
        <v>0</v>
      </c>
      <c r="I125" s="15">
        <f t="shared" si="52"/>
        <v>0</v>
      </c>
      <c r="J125" s="15">
        <f t="shared" si="52"/>
        <v>0</v>
      </c>
      <c r="K125" s="15">
        <f t="shared" si="52"/>
        <v>0</v>
      </c>
      <c r="L125" s="15">
        <f t="shared" si="52"/>
        <v>0</v>
      </c>
      <c r="M125" s="15">
        <f t="shared" si="52"/>
        <v>0</v>
      </c>
    </row>
    <row r="126" spans="1:13" ht="168.75">
      <c r="A126" s="16"/>
      <c r="B126" s="16"/>
      <c r="C126" s="16" t="s">
        <v>221</v>
      </c>
      <c r="D126" s="18" t="s">
        <v>222</v>
      </c>
      <c r="E126" s="19">
        <v>300000</v>
      </c>
      <c r="F126" s="128">
        <f>G126-E126</f>
        <v>0</v>
      </c>
      <c r="G126" s="19">
        <f>50000+250000</f>
        <v>300000</v>
      </c>
      <c r="H126" s="19"/>
      <c r="I126" s="19">
        <f>J126-H126</f>
        <v>0</v>
      </c>
      <c r="J126" s="19"/>
      <c r="K126" s="19"/>
      <c r="L126" s="19">
        <f>M126-K126</f>
        <v>0</v>
      </c>
      <c r="M126" s="19"/>
    </row>
    <row r="127" spans="1:13" ht="56.25">
      <c r="A127" s="16"/>
      <c r="B127" s="10"/>
      <c r="C127" s="10" t="s">
        <v>223</v>
      </c>
      <c r="D127" s="11" t="s">
        <v>224</v>
      </c>
      <c r="E127" s="12">
        <f aca="true" t="shared" si="53" ref="E127:M128">E128</f>
        <v>10606000</v>
      </c>
      <c r="F127" s="12">
        <f t="shared" si="53"/>
        <v>0</v>
      </c>
      <c r="G127" s="12">
        <f t="shared" si="53"/>
        <v>10606000</v>
      </c>
      <c r="H127" s="12">
        <f t="shared" si="53"/>
        <v>10788000</v>
      </c>
      <c r="I127" s="12">
        <f t="shared" si="53"/>
        <v>0</v>
      </c>
      <c r="J127" s="12">
        <f t="shared" si="53"/>
        <v>10788000</v>
      </c>
      <c r="K127" s="12">
        <f t="shared" si="53"/>
        <v>10983000</v>
      </c>
      <c r="L127" s="12">
        <f t="shared" si="53"/>
        <v>0</v>
      </c>
      <c r="M127" s="12">
        <f t="shared" si="53"/>
        <v>10983000</v>
      </c>
    </row>
    <row r="128" spans="1:13" ht="93.75">
      <c r="A128" s="16"/>
      <c r="B128" s="13"/>
      <c r="C128" s="13" t="s">
        <v>225</v>
      </c>
      <c r="D128" s="14" t="s">
        <v>226</v>
      </c>
      <c r="E128" s="15">
        <f t="shared" si="53"/>
        <v>10606000</v>
      </c>
      <c r="F128" s="15">
        <f t="shared" si="53"/>
        <v>0</v>
      </c>
      <c r="G128" s="15">
        <f t="shared" si="53"/>
        <v>10606000</v>
      </c>
      <c r="H128" s="15">
        <f t="shared" si="53"/>
        <v>10788000</v>
      </c>
      <c r="I128" s="15">
        <f t="shared" si="53"/>
        <v>0</v>
      </c>
      <c r="J128" s="15">
        <f t="shared" si="53"/>
        <v>10788000</v>
      </c>
      <c r="K128" s="15">
        <f t="shared" si="53"/>
        <v>10983000</v>
      </c>
      <c r="L128" s="15">
        <f t="shared" si="53"/>
        <v>0</v>
      </c>
      <c r="M128" s="15">
        <f t="shared" si="53"/>
        <v>10983000</v>
      </c>
    </row>
    <row r="129" spans="1:13" ht="112.5">
      <c r="A129" s="16"/>
      <c r="B129" s="16"/>
      <c r="C129" s="16" t="s">
        <v>227</v>
      </c>
      <c r="D129" s="18" t="s">
        <v>228</v>
      </c>
      <c r="E129" s="19">
        <v>10606000</v>
      </c>
      <c r="F129" s="128">
        <f>G129-E129</f>
        <v>0</v>
      </c>
      <c r="G129" s="19">
        <v>10606000</v>
      </c>
      <c r="H129" s="19">
        <v>10788000</v>
      </c>
      <c r="I129" s="19">
        <f>J129-H129</f>
        <v>0</v>
      </c>
      <c r="J129" s="19">
        <v>10788000</v>
      </c>
      <c r="K129" s="19">
        <v>10983000</v>
      </c>
      <c r="L129" s="19">
        <f>M129-K129</f>
        <v>0</v>
      </c>
      <c r="M129" s="19">
        <v>10983000</v>
      </c>
    </row>
    <row r="130" spans="1:13" ht="37.5">
      <c r="A130" s="76"/>
      <c r="B130" s="7"/>
      <c r="C130" s="7" t="s">
        <v>229</v>
      </c>
      <c r="D130" s="8" t="s">
        <v>230</v>
      </c>
      <c r="E130" s="9">
        <f aca="true" t="shared" si="54" ref="E130:M131">E131</f>
        <v>1132000</v>
      </c>
      <c r="F130" s="9">
        <f t="shared" si="54"/>
        <v>0</v>
      </c>
      <c r="G130" s="9">
        <f t="shared" si="54"/>
        <v>1132000</v>
      </c>
      <c r="H130" s="9">
        <f t="shared" si="54"/>
        <v>1132000</v>
      </c>
      <c r="I130" s="9">
        <f t="shared" si="54"/>
        <v>0</v>
      </c>
      <c r="J130" s="9">
        <f t="shared" si="54"/>
        <v>1132000</v>
      </c>
      <c r="K130" s="9">
        <f t="shared" si="54"/>
        <v>1132000</v>
      </c>
      <c r="L130" s="9">
        <f t="shared" si="54"/>
        <v>0</v>
      </c>
      <c r="M130" s="9">
        <f t="shared" si="54"/>
        <v>1132000</v>
      </c>
    </row>
    <row r="131" spans="1:13" ht="66" customHeight="1">
      <c r="A131" s="16"/>
      <c r="B131" s="13"/>
      <c r="C131" s="13" t="s">
        <v>231</v>
      </c>
      <c r="D131" s="14" t="s">
        <v>232</v>
      </c>
      <c r="E131" s="15">
        <f t="shared" si="54"/>
        <v>1132000</v>
      </c>
      <c r="F131" s="15">
        <f t="shared" si="54"/>
        <v>0</v>
      </c>
      <c r="G131" s="15">
        <f t="shared" si="54"/>
        <v>1132000</v>
      </c>
      <c r="H131" s="15">
        <f t="shared" si="54"/>
        <v>1132000</v>
      </c>
      <c r="I131" s="15">
        <f t="shared" si="54"/>
        <v>0</v>
      </c>
      <c r="J131" s="15">
        <f t="shared" si="54"/>
        <v>1132000</v>
      </c>
      <c r="K131" s="15">
        <f t="shared" si="54"/>
        <v>1132000</v>
      </c>
      <c r="L131" s="15">
        <f t="shared" si="54"/>
        <v>0</v>
      </c>
      <c r="M131" s="15">
        <f t="shared" si="54"/>
        <v>1132000</v>
      </c>
    </row>
    <row r="132" spans="1:13" ht="68.25" customHeight="1">
      <c r="A132" s="16"/>
      <c r="B132" s="16"/>
      <c r="C132" s="16" t="s">
        <v>233</v>
      </c>
      <c r="D132" s="18" t="s">
        <v>234</v>
      </c>
      <c r="E132" s="24">
        <v>1132000</v>
      </c>
      <c r="F132" s="132">
        <f>G132-E132</f>
        <v>0</v>
      </c>
      <c r="G132" s="24">
        <v>1132000</v>
      </c>
      <c r="H132" s="24">
        <v>1132000</v>
      </c>
      <c r="I132" s="24">
        <f>J132-H132</f>
        <v>0</v>
      </c>
      <c r="J132" s="24">
        <v>1132000</v>
      </c>
      <c r="K132" s="24">
        <v>1132000</v>
      </c>
      <c r="L132" s="24">
        <f>M132-K132</f>
        <v>0</v>
      </c>
      <c r="M132" s="24">
        <v>1132000</v>
      </c>
    </row>
    <row r="133" spans="1:13" ht="37.5">
      <c r="A133" s="76"/>
      <c r="B133" s="7"/>
      <c r="C133" s="7" t="s">
        <v>235</v>
      </c>
      <c r="D133" s="8" t="s">
        <v>236</v>
      </c>
      <c r="E133" s="9">
        <f>E134+E136++E138+E141+E142+E143+E147+E149+E151</f>
        <v>425222000</v>
      </c>
      <c r="F133" s="9">
        <f aca="true" t="shared" si="55" ref="F133:M133">F134+F136++F138+F141+F142+F143+F147+F149+F151</f>
        <v>26642010</v>
      </c>
      <c r="G133" s="9">
        <f t="shared" si="55"/>
        <v>451864010</v>
      </c>
      <c r="H133" s="9">
        <f t="shared" si="55"/>
        <v>410143000</v>
      </c>
      <c r="I133" s="9">
        <f t="shared" si="55"/>
        <v>0</v>
      </c>
      <c r="J133" s="9">
        <f t="shared" si="55"/>
        <v>410143000</v>
      </c>
      <c r="K133" s="9">
        <f t="shared" si="55"/>
        <v>410165000</v>
      </c>
      <c r="L133" s="9">
        <f t="shared" si="55"/>
        <v>0</v>
      </c>
      <c r="M133" s="9">
        <f t="shared" si="55"/>
        <v>410165000</v>
      </c>
    </row>
    <row r="134" spans="1:13" ht="141.75" customHeight="1">
      <c r="A134" s="16"/>
      <c r="B134" s="13"/>
      <c r="C134" s="13" t="s">
        <v>237</v>
      </c>
      <c r="D134" s="14" t="s">
        <v>238</v>
      </c>
      <c r="E134" s="15">
        <f aca="true" t="shared" si="56" ref="E134:M134">E135</f>
        <v>1200000</v>
      </c>
      <c r="F134" s="15">
        <f t="shared" si="56"/>
        <v>-400000</v>
      </c>
      <c r="G134" s="15">
        <f t="shared" si="56"/>
        <v>800000</v>
      </c>
      <c r="H134" s="15">
        <f t="shared" si="56"/>
        <v>1500000</v>
      </c>
      <c r="I134" s="15">
        <f t="shared" si="56"/>
        <v>0</v>
      </c>
      <c r="J134" s="15">
        <f t="shared" si="56"/>
        <v>1500000</v>
      </c>
      <c r="K134" s="15">
        <f t="shared" si="56"/>
        <v>1500000</v>
      </c>
      <c r="L134" s="15">
        <f t="shared" si="56"/>
        <v>0</v>
      </c>
      <c r="M134" s="15">
        <f t="shared" si="56"/>
        <v>1500000</v>
      </c>
    </row>
    <row r="135" spans="1:13" ht="139.5" customHeight="1">
      <c r="A135" s="16"/>
      <c r="B135" s="16"/>
      <c r="C135" s="16" t="s">
        <v>239</v>
      </c>
      <c r="D135" s="18" t="s">
        <v>240</v>
      </c>
      <c r="E135" s="19">
        <v>1200000</v>
      </c>
      <c r="F135" s="128">
        <f>G135-E135</f>
        <v>-400000</v>
      </c>
      <c r="G135" s="19">
        <f>1200000-400000</f>
        <v>800000</v>
      </c>
      <c r="H135" s="19">
        <v>1500000</v>
      </c>
      <c r="I135" s="19">
        <f>J135-H135</f>
        <v>0</v>
      </c>
      <c r="J135" s="19">
        <v>1500000</v>
      </c>
      <c r="K135" s="19">
        <v>1500000</v>
      </c>
      <c r="L135" s="19">
        <f>M135-K135</f>
        <v>0</v>
      </c>
      <c r="M135" s="19">
        <v>1500000</v>
      </c>
    </row>
    <row r="136" spans="1:13" ht="66" customHeight="1">
      <c r="A136" s="16"/>
      <c r="B136" s="13"/>
      <c r="C136" s="13" t="s">
        <v>241</v>
      </c>
      <c r="D136" s="14" t="s">
        <v>242</v>
      </c>
      <c r="E136" s="15">
        <f aca="true" t="shared" si="57" ref="E136:M136">E137</f>
        <v>1720000</v>
      </c>
      <c r="F136" s="15">
        <f t="shared" si="57"/>
        <v>8302000</v>
      </c>
      <c r="G136" s="15">
        <f t="shared" si="57"/>
        <v>10022000</v>
      </c>
      <c r="H136" s="15">
        <f t="shared" si="57"/>
        <v>2720000</v>
      </c>
      <c r="I136" s="15">
        <f t="shared" si="57"/>
        <v>0</v>
      </c>
      <c r="J136" s="15">
        <f t="shared" si="57"/>
        <v>2720000</v>
      </c>
      <c r="K136" s="15">
        <f t="shared" si="57"/>
        <v>2720000</v>
      </c>
      <c r="L136" s="15">
        <f t="shared" si="57"/>
        <v>0</v>
      </c>
      <c r="M136" s="15">
        <f t="shared" si="57"/>
        <v>2720000</v>
      </c>
    </row>
    <row r="137" spans="1:13" ht="100.5" customHeight="1">
      <c r="A137" s="16"/>
      <c r="B137" s="16"/>
      <c r="C137" s="16" t="s">
        <v>243</v>
      </c>
      <c r="D137" s="18" t="s">
        <v>244</v>
      </c>
      <c r="E137" s="19">
        <v>1720000</v>
      </c>
      <c r="F137" s="128">
        <f>G137-E137</f>
        <v>8302000</v>
      </c>
      <c r="G137" s="19">
        <f>1720000+8302000</f>
        <v>10022000</v>
      </c>
      <c r="H137" s="19">
        <v>2720000</v>
      </c>
      <c r="I137" s="19">
        <f>J137-H137</f>
        <v>0</v>
      </c>
      <c r="J137" s="19">
        <v>2720000</v>
      </c>
      <c r="K137" s="19">
        <v>2720000</v>
      </c>
      <c r="L137" s="19">
        <f>M137-K137</f>
        <v>0</v>
      </c>
      <c r="M137" s="19">
        <v>2720000</v>
      </c>
    </row>
    <row r="138" spans="1:13" ht="177" customHeight="1">
      <c r="A138" s="16"/>
      <c r="B138" s="10"/>
      <c r="C138" s="10" t="s">
        <v>245</v>
      </c>
      <c r="D138" s="20" t="s">
        <v>246</v>
      </c>
      <c r="E138" s="12">
        <f aca="true" t="shared" si="58" ref="E138:M139">E139</f>
        <v>150000</v>
      </c>
      <c r="F138" s="12">
        <f t="shared" si="58"/>
        <v>100000</v>
      </c>
      <c r="G138" s="12">
        <f t="shared" si="58"/>
        <v>250000</v>
      </c>
      <c r="H138" s="12">
        <f t="shared" si="58"/>
        <v>450000</v>
      </c>
      <c r="I138" s="12">
        <f t="shared" si="58"/>
        <v>0</v>
      </c>
      <c r="J138" s="12">
        <f t="shared" si="58"/>
        <v>450000</v>
      </c>
      <c r="K138" s="12">
        <f t="shared" si="58"/>
        <v>450000</v>
      </c>
      <c r="L138" s="12">
        <f t="shared" si="58"/>
        <v>0</v>
      </c>
      <c r="M138" s="12">
        <f t="shared" si="58"/>
        <v>450000</v>
      </c>
    </row>
    <row r="139" spans="1:13" ht="48" customHeight="1">
      <c r="A139" s="16"/>
      <c r="B139" s="13"/>
      <c r="C139" s="13" t="s">
        <v>247</v>
      </c>
      <c r="D139" s="21" t="s">
        <v>248</v>
      </c>
      <c r="E139" s="15">
        <f t="shared" si="58"/>
        <v>150000</v>
      </c>
      <c r="F139" s="15">
        <f t="shared" si="58"/>
        <v>100000</v>
      </c>
      <c r="G139" s="15">
        <f t="shared" si="58"/>
        <v>250000</v>
      </c>
      <c r="H139" s="15">
        <f t="shared" si="58"/>
        <v>450000</v>
      </c>
      <c r="I139" s="15">
        <f t="shared" si="58"/>
        <v>0</v>
      </c>
      <c r="J139" s="15">
        <f t="shared" si="58"/>
        <v>450000</v>
      </c>
      <c r="K139" s="15">
        <f t="shared" si="58"/>
        <v>450000</v>
      </c>
      <c r="L139" s="15">
        <f t="shared" si="58"/>
        <v>0</v>
      </c>
      <c r="M139" s="15">
        <f t="shared" si="58"/>
        <v>450000</v>
      </c>
    </row>
    <row r="140" spans="1:13" ht="93.75">
      <c r="A140" s="16"/>
      <c r="B140" s="25"/>
      <c r="C140" s="25" t="s">
        <v>249</v>
      </c>
      <c r="D140" s="22" t="s">
        <v>250</v>
      </c>
      <c r="E140" s="19">
        <v>150000</v>
      </c>
      <c r="F140" s="128">
        <f>G140-E140</f>
        <v>100000</v>
      </c>
      <c r="G140" s="19">
        <f>150000+100000</f>
        <v>250000</v>
      </c>
      <c r="H140" s="19">
        <v>450000</v>
      </c>
      <c r="I140" s="19">
        <f>J140-H140</f>
        <v>0</v>
      </c>
      <c r="J140" s="19">
        <v>450000</v>
      </c>
      <c r="K140" s="19">
        <v>450000</v>
      </c>
      <c r="L140" s="19">
        <f>M140-K140</f>
        <v>0</v>
      </c>
      <c r="M140" s="19">
        <v>450000</v>
      </c>
    </row>
    <row r="141" spans="1:13" ht="45" customHeight="1">
      <c r="A141" s="16"/>
      <c r="B141" s="16"/>
      <c r="C141" s="16" t="s">
        <v>251</v>
      </c>
      <c r="D141" s="18" t="s">
        <v>252</v>
      </c>
      <c r="E141" s="19">
        <v>100000</v>
      </c>
      <c r="F141" s="128">
        <f>G141-E141</f>
        <v>209000</v>
      </c>
      <c r="G141" s="19">
        <f>100000+209000</f>
        <v>309000</v>
      </c>
      <c r="H141" s="19">
        <v>1100000</v>
      </c>
      <c r="I141" s="19">
        <f>J141-H141</f>
        <v>0</v>
      </c>
      <c r="J141" s="19">
        <v>1100000</v>
      </c>
      <c r="K141" s="19">
        <v>1100000</v>
      </c>
      <c r="L141" s="19">
        <f>M141-K141</f>
        <v>0</v>
      </c>
      <c r="M141" s="19">
        <v>1100000</v>
      </c>
    </row>
    <row r="142" spans="1:13" ht="66.75" customHeight="1">
      <c r="A142" s="16"/>
      <c r="B142" s="16"/>
      <c r="C142" s="16" t="s">
        <v>253</v>
      </c>
      <c r="D142" s="18" t="s">
        <v>254</v>
      </c>
      <c r="E142" s="19">
        <v>1795000</v>
      </c>
      <c r="F142" s="128">
        <f>G142-E142</f>
        <v>-100000</v>
      </c>
      <c r="G142" s="19">
        <f>1795000-100000</f>
        <v>1695000</v>
      </c>
      <c r="H142" s="19">
        <v>3256000</v>
      </c>
      <c r="I142" s="19">
        <f>J142-H142</f>
        <v>0</v>
      </c>
      <c r="J142" s="19">
        <v>3256000</v>
      </c>
      <c r="K142" s="19">
        <v>3111000</v>
      </c>
      <c r="L142" s="19">
        <f>M142-K142</f>
        <v>0</v>
      </c>
      <c r="M142" s="19">
        <v>3111000</v>
      </c>
    </row>
    <row r="143" spans="1:13" ht="37.5">
      <c r="A143" s="16"/>
      <c r="B143" s="10"/>
      <c r="C143" s="10" t="s">
        <v>255</v>
      </c>
      <c r="D143" s="11" t="s">
        <v>256</v>
      </c>
      <c r="E143" s="12">
        <f>E144+E146</f>
        <v>412144000</v>
      </c>
      <c r="F143" s="12">
        <f>F144+F146</f>
        <v>-666000</v>
      </c>
      <c r="G143" s="12">
        <f>G144+G146</f>
        <v>411478000</v>
      </c>
      <c r="H143" s="12">
        <f aca="true" t="shared" si="59" ref="H143:M143">H144+H146</f>
        <v>385024000</v>
      </c>
      <c r="I143" s="12">
        <f t="shared" si="59"/>
        <v>0</v>
      </c>
      <c r="J143" s="12">
        <f t="shared" si="59"/>
        <v>385024000</v>
      </c>
      <c r="K143" s="12">
        <f t="shared" si="59"/>
        <v>384994000</v>
      </c>
      <c r="L143" s="12">
        <f t="shared" si="59"/>
        <v>0</v>
      </c>
      <c r="M143" s="12">
        <f t="shared" si="59"/>
        <v>384994000</v>
      </c>
    </row>
    <row r="144" spans="1:13" ht="102" customHeight="1">
      <c r="A144" s="16"/>
      <c r="B144" s="13"/>
      <c r="C144" s="13" t="s">
        <v>257</v>
      </c>
      <c r="D144" s="14" t="s">
        <v>258</v>
      </c>
      <c r="E144" s="15">
        <f aca="true" t="shared" si="60" ref="E144:M144">E145</f>
        <v>1231000</v>
      </c>
      <c r="F144" s="15">
        <f t="shared" si="60"/>
        <v>-666000</v>
      </c>
      <c r="G144" s="15">
        <f t="shared" si="60"/>
        <v>565000</v>
      </c>
      <c r="H144" s="15">
        <f t="shared" si="60"/>
        <v>2731000</v>
      </c>
      <c r="I144" s="15">
        <f t="shared" si="60"/>
        <v>0</v>
      </c>
      <c r="J144" s="15">
        <f t="shared" si="60"/>
        <v>2731000</v>
      </c>
      <c r="K144" s="15">
        <f t="shared" si="60"/>
        <v>2731000</v>
      </c>
      <c r="L144" s="15">
        <f t="shared" si="60"/>
        <v>0</v>
      </c>
      <c r="M144" s="15">
        <f t="shared" si="60"/>
        <v>2731000</v>
      </c>
    </row>
    <row r="145" spans="1:13" ht="105.75" customHeight="1">
      <c r="A145" s="16"/>
      <c r="B145" s="16"/>
      <c r="C145" s="16" t="s">
        <v>259</v>
      </c>
      <c r="D145" s="18" t="s">
        <v>260</v>
      </c>
      <c r="E145" s="19">
        <v>1231000</v>
      </c>
      <c r="F145" s="128">
        <f>G145-E145</f>
        <v>-666000</v>
      </c>
      <c r="G145" s="19">
        <f>1231000-666000</f>
        <v>565000</v>
      </c>
      <c r="H145" s="19">
        <v>2731000</v>
      </c>
      <c r="I145" s="19">
        <f>J145-H145</f>
        <v>0</v>
      </c>
      <c r="J145" s="19">
        <v>2731000</v>
      </c>
      <c r="K145" s="19">
        <v>2731000</v>
      </c>
      <c r="L145" s="19">
        <f>M145-K145</f>
        <v>0</v>
      </c>
      <c r="M145" s="19">
        <v>2731000</v>
      </c>
    </row>
    <row r="146" spans="1:13" ht="56.25">
      <c r="A146" s="16"/>
      <c r="B146" s="16"/>
      <c r="C146" s="16" t="s">
        <v>261</v>
      </c>
      <c r="D146" s="18" t="s">
        <v>262</v>
      </c>
      <c r="E146" s="19">
        <v>410913000</v>
      </c>
      <c r="F146" s="19">
        <f>G146-E146</f>
        <v>0</v>
      </c>
      <c r="G146" s="131">
        <v>410913000</v>
      </c>
      <c r="H146" s="19">
        <v>382293000</v>
      </c>
      <c r="I146" s="19">
        <f>J146-H146</f>
        <v>0</v>
      </c>
      <c r="J146" s="19">
        <v>382293000</v>
      </c>
      <c r="K146" s="19">
        <v>382263000</v>
      </c>
      <c r="L146" s="19">
        <f>M146-K146</f>
        <v>0</v>
      </c>
      <c r="M146" s="19">
        <v>382263000</v>
      </c>
    </row>
    <row r="147" spans="1:13" ht="102" customHeight="1">
      <c r="A147" s="16"/>
      <c r="B147" s="13"/>
      <c r="C147" s="13" t="s">
        <v>263</v>
      </c>
      <c r="D147" s="14" t="s">
        <v>264</v>
      </c>
      <c r="E147" s="15">
        <f aca="true" t="shared" si="61" ref="E147:M147">E148</f>
        <v>1100000</v>
      </c>
      <c r="F147" s="15">
        <f t="shared" si="61"/>
        <v>741044</v>
      </c>
      <c r="G147" s="15">
        <f t="shared" si="61"/>
        <v>1841044</v>
      </c>
      <c r="H147" s="15">
        <f t="shared" si="61"/>
        <v>3100000</v>
      </c>
      <c r="I147" s="15">
        <f t="shared" si="61"/>
        <v>0</v>
      </c>
      <c r="J147" s="15">
        <f t="shared" si="61"/>
        <v>3100000</v>
      </c>
      <c r="K147" s="15">
        <f t="shared" si="61"/>
        <v>3100000</v>
      </c>
      <c r="L147" s="15">
        <f t="shared" si="61"/>
        <v>0</v>
      </c>
      <c r="M147" s="15">
        <f t="shared" si="61"/>
        <v>3100000</v>
      </c>
    </row>
    <row r="148" spans="1:13" ht="105.75" customHeight="1">
      <c r="A148" s="16"/>
      <c r="B148" s="16"/>
      <c r="C148" s="16" t="s">
        <v>265</v>
      </c>
      <c r="D148" s="18" t="s">
        <v>266</v>
      </c>
      <c r="E148" s="19">
        <v>1100000</v>
      </c>
      <c r="F148" s="128">
        <f>G148-E148</f>
        <v>741044</v>
      </c>
      <c r="G148" s="19">
        <f>1100000+741044</f>
        <v>1841044</v>
      </c>
      <c r="H148" s="19">
        <v>3100000</v>
      </c>
      <c r="I148" s="19">
        <f>J148-H148</f>
        <v>0</v>
      </c>
      <c r="J148" s="19">
        <v>3100000</v>
      </c>
      <c r="K148" s="19">
        <v>3100000</v>
      </c>
      <c r="L148" s="19">
        <f>M148-K148</f>
        <v>0</v>
      </c>
      <c r="M148" s="19">
        <v>3100000</v>
      </c>
    </row>
    <row r="149" spans="1:13" ht="99" customHeight="1">
      <c r="A149" s="16"/>
      <c r="B149" s="13"/>
      <c r="C149" s="13" t="s">
        <v>267</v>
      </c>
      <c r="D149" s="14" t="s">
        <v>268</v>
      </c>
      <c r="E149" s="15">
        <f aca="true" t="shared" si="62" ref="E149:M149">E150</f>
        <v>3363000</v>
      </c>
      <c r="F149" s="15">
        <f t="shared" si="62"/>
        <v>-1163000</v>
      </c>
      <c r="G149" s="15">
        <f t="shared" si="62"/>
        <v>2200000</v>
      </c>
      <c r="H149" s="15">
        <f t="shared" si="62"/>
        <v>5531000</v>
      </c>
      <c r="I149" s="15">
        <f t="shared" si="62"/>
        <v>0</v>
      </c>
      <c r="J149" s="15">
        <f t="shared" si="62"/>
        <v>5531000</v>
      </c>
      <c r="K149" s="15">
        <f t="shared" si="62"/>
        <v>5708000</v>
      </c>
      <c r="L149" s="15">
        <f t="shared" si="62"/>
        <v>0</v>
      </c>
      <c r="M149" s="15">
        <f t="shared" si="62"/>
        <v>5708000</v>
      </c>
    </row>
    <row r="150" spans="1:13" ht="141.75" customHeight="1">
      <c r="A150" s="16"/>
      <c r="B150" s="16"/>
      <c r="C150" s="16" t="s">
        <v>269</v>
      </c>
      <c r="D150" s="18" t="s">
        <v>270</v>
      </c>
      <c r="E150" s="19">
        <v>3363000</v>
      </c>
      <c r="F150" s="128">
        <f>G150-E150</f>
        <v>-1163000</v>
      </c>
      <c r="G150" s="19">
        <f>3363000-1163000</f>
        <v>2200000</v>
      </c>
      <c r="H150" s="19">
        <v>5531000</v>
      </c>
      <c r="I150" s="19">
        <f>J150-H150</f>
        <v>0</v>
      </c>
      <c r="J150" s="19">
        <v>5531000</v>
      </c>
      <c r="K150" s="19">
        <v>5708000</v>
      </c>
      <c r="L150" s="19">
        <f>M150-K150</f>
        <v>0</v>
      </c>
      <c r="M150" s="19">
        <v>5708000</v>
      </c>
    </row>
    <row r="151" spans="1:13" ht="45.75" customHeight="1">
      <c r="A151" s="16"/>
      <c r="B151" s="13"/>
      <c r="C151" s="13" t="s">
        <v>271</v>
      </c>
      <c r="D151" s="14" t="s">
        <v>272</v>
      </c>
      <c r="E151" s="15">
        <f aca="true" t="shared" si="63" ref="E151:M151">E152</f>
        <v>3650000</v>
      </c>
      <c r="F151" s="15">
        <f t="shared" si="63"/>
        <v>19618966</v>
      </c>
      <c r="G151" s="15">
        <f t="shared" si="63"/>
        <v>23268966</v>
      </c>
      <c r="H151" s="15">
        <f t="shared" si="63"/>
        <v>7462000</v>
      </c>
      <c r="I151" s="15">
        <f t="shared" si="63"/>
        <v>0</v>
      </c>
      <c r="J151" s="15">
        <f t="shared" si="63"/>
        <v>7462000</v>
      </c>
      <c r="K151" s="15">
        <f t="shared" si="63"/>
        <v>7482000</v>
      </c>
      <c r="L151" s="15">
        <f t="shared" si="63"/>
        <v>0</v>
      </c>
      <c r="M151" s="15">
        <f t="shared" si="63"/>
        <v>7482000</v>
      </c>
    </row>
    <row r="152" spans="1:13" ht="82.5" customHeight="1">
      <c r="A152" s="16"/>
      <c r="B152" s="16"/>
      <c r="C152" s="16" t="s">
        <v>273</v>
      </c>
      <c r="D152" s="18" t="s">
        <v>274</v>
      </c>
      <c r="E152" s="19">
        <v>3650000</v>
      </c>
      <c r="F152" s="128">
        <f>G152-E152</f>
        <v>19618966</v>
      </c>
      <c r="G152" s="19">
        <f>3650000+19618966</f>
        <v>23268966</v>
      </c>
      <c r="H152" s="19">
        <v>7462000</v>
      </c>
      <c r="I152" s="19">
        <f>J152-H152</f>
        <v>0</v>
      </c>
      <c r="J152" s="19">
        <v>7462000</v>
      </c>
      <c r="K152" s="19">
        <v>7482000</v>
      </c>
      <c r="L152" s="19">
        <f>M152-K152</f>
        <v>0</v>
      </c>
      <c r="M152" s="19">
        <v>7482000</v>
      </c>
    </row>
    <row r="153" spans="1:13" ht="39" customHeight="1">
      <c r="A153" s="76"/>
      <c r="B153" s="40"/>
      <c r="C153" s="40" t="s">
        <v>275</v>
      </c>
      <c r="D153" s="26" t="s">
        <v>276</v>
      </c>
      <c r="E153" s="27">
        <f aca="true" t="shared" si="64" ref="E153:M153">E155+E160+E214+E244+E257+E259+E261+E283</f>
        <v>31594835151.29</v>
      </c>
      <c r="F153" s="27">
        <f t="shared" si="64"/>
        <v>-5028528700</v>
      </c>
      <c r="G153" s="27">
        <f t="shared" si="64"/>
        <v>26566306451.29</v>
      </c>
      <c r="H153" s="27">
        <f t="shared" si="64"/>
        <v>24848055284</v>
      </c>
      <c r="I153" s="27">
        <f t="shared" si="64"/>
        <v>0</v>
      </c>
      <c r="J153" s="27">
        <f t="shared" si="64"/>
        <v>24848055284</v>
      </c>
      <c r="K153" s="27">
        <f t="shared" si="64"/>
        <v>25980487584</v>
      </c>
      <c r="L153" s="27">
        <f t="shared" si="64"/>
        <v>0</v>
      </c>
      <c r="M153" s="27">
        <f t="shared" si="64"/>
        <v>25980487584</v>
      </c>
    </row>
    <row r="154" spans="1:13" ht="45" customHeight="1">
      <c r="A154" s="123"/>
      <c r="B154" s="41"/>
      <c r="C154" s="41" t="s">
        <v>277</v>
      </c>
      <c r="D154" s="28" t="s">
        <v>278</v>
      </c>
      <c r="E154" s="29">
        <f>E155+E160+E214+E244</f>
        <v>31573545476</v>
      </c>
      <c r="F154" s="29">
        <f aca="true" t="shared" si="65" ref="F154:M154">F155+F160+F214+F244</f>
        <v>-5028528700</v>
      </c>
      <c r="G154" s="29">
        <f t="shared" si="65"/>
        <v>26545016776</v>
      </c>
      <c r="H154" s="29">
        <f t="shared" si="65"/>
        <v>24848055284</v>
      </c>
      <c r="I154" s="29">
        <f t="shared" si="65"/>
        <v>0</v>
      </c>
      <c r="J154" s="29">
        <f t="shared" si="65"/>
        <v>24848055284</v>
      </c>
      <c r="K154" s="29">
        <f t="shared" si="65"/>
        <v>25980487584</v>
      </c>
      <c r="L154" s="29">
        <f t="shared" si="65"/>
        <v>0</v>
      </c>
      <c r="M154" s="29">
        <f t="shared" si="65"/>
        <v>25980487584</v>
      </c>
    </row>
    <row r="155" spans="1:13" ht="49.5" customHeight="1">
      <c r="A155" s="76"/>
      <c r="B155" s="39"/>
      <c r="C155" s="39" t="s">
        <v>279</v>
      </c>
      <c r="D155" s="30" t="s">
        <v>294</v>
      </c>
      <c r="E155" s="31">
        <f>SUM(E156:E159)</f>
        <v>13557786900</v>
      </c>
      <c r="F155" s="31">
        <f aca="true" t="shared" si="66" ref="F155:M155">SUM(F156:F159)</f>
        <v>68563000</v>
      </c>
      <c r="G155" s="31">
        <f t="shared" si="66"/>
        <v>13626349900</v>
      </c>
      <c r="H155" s="31">
        <f t="shared" si="66"/>
        <v>8178316500</v>
      </c>
      <c r="I155" s="31">
        <f t="shared" si="66"/>
        <v>0</v>
      </c>
      <c r="J155" s="31">
        <f t="shared" si="66"/>
        <v>8178316500</v>
      </c>
      <c r="K155" s="31">
        <f t="shared" si="66"/>
        <v>8932358500</v>
      </c>
      <c r="L155" s="31">
        <f t="shared" si="66"/>
        <v>0</v>
      </c>
      <c r="M155" s="31">
        <f t="shared" si="66"/>
        <v>8932358500</v>
      </c>
    </row>
    <row r="156" spans="1:13" ht="75">
      <c r="A156" s="16">
        <v>818</v>
      </c>
      <c r="B156" s="16"/>
      <c r="C156" s="42" t="s">
        <v>336</v>
      </c>
      <c r="D156" s="18" t="s">
        <v>394</v>
      </c>
      <c r="E156" s="23">
        <v>12805744900</v>
      </c>
      <c r="F156" s="23">
        <f>G156-E156</f>
        <v>0</v>
      </c>
      <c r="G156" s="23">
        <v>12805744900</v>
      </c>
      <c r="H156" s="23">
        <v>8178316500</v>
      </c>
      <c r="I156" s="19">
        <f>J156-H156</f>
        <v>0</v>
      </c>
      <c r="J156" s="23">
        <v>8178316500</v>
      </c>
      <c r="K156" s="19">
        <v>8932358500</v>
      </c>
      <c r="L156" s="19">
        <f>M156-K156</f>
        <v>0</v>
      </c>
      <c r="M156" s="19">
        <v>8932358500</v>
      </c>
    </row>
    <row r="157" spans="1:13" ht="89.25" customHeight="1">
      <c r="A157" s="16">
        <v>818</v>
      </c>
      <c r="B157" s="16"/>
      <c r="C157" s="42" t="s">
        <v>486</v>
      </c>
      <c r="D157" s="18" t="s">
        <v>487</v>
      </c>
      <c r="E157" s="23">
        <v>177808000</v>
      </c>
      <c r="F157" s="33">
        <f>G157-E157</f>
        <v>0</v>
      </c>
      <c r="G157" s="23">
        <v>177808000</v>
      </c>
      <c r="H157" s="23">
        <v>0</v>
      </c>
      <c r="I157" s="23">
        <f>J157-H157</f>
        <v>0</v>
      </c>
      <c r="J157" s="23">
        <v>0</v>
      </c>
      <c r="K157" s="23">
        <v>0</v>
      </c>
      <c r="L157" s="23">
        <f>M157-K157</f>
        <v>0</v>
      </c>
      <c r="M157" s="23">
        <v>0</v>
      </c>
    </row>
    <row r="158" spans="1:13" ht="114" customHeight="1">
      <c r="A158" s="16">
        <v>818</v>
      </c>
      <c r="B158" s="16"/>
      <c r="C158" s="16" t="s">
        <v>280</v>
      </c>
      <c r="D158" s="18" t="s">
        <v>420</v>
      </c>
      <c r="E158" s="23">
        <v>574234000</v>
      </c>
      <c r="F158" s="23">
        <f>G158-E158</f>
        <v>0</v>
      </c>
      <c r="G158" s="23">
        <v>574234000</v>
      </c>
      <c r="H158" s="23">
        <v>0</v>
      </c>
      <c r="I158" s="23">
        <f>J158-H158</f>
        <v>0</v>
      </c>
      <c r="J158" s="23">
        <v>0</v>
      </c>
      <c r="K158" s="23">
        <v>0</v>
      </c>
      <c r="L158" s="23">
        <f>M158-K158</f>
        <v>0</v>
      </c>
      <c r="M158" s="23">
        <v>0</v>
      </c>
    </row>
    <row r="159" spans="1:13" ht="81.75" customHeight="1">
      <c r="A159" s="16">
        <v>818</v>
      </c>
      <c r="B159" s="16">
        <v>52130</v>
      </c>
      <c r="C159" s="42" t="s">
        <v>554</v>
      </c>
      <c r="D159" s="18" t="s">
        <v>560</v>
      </c>
      <c r="E159" s="23"/>
      <c r="F159" s="128">
        <f>G159-E159</f>
        <v>68563000</v>
      </c>
      <c r="G159" s="23">
        <v>68563000</v>
      </c>
      <c r="H159" s="23">
        <v>0</v>
      </c>
      <c r="I159" s="23">
        <f>J159-H159</f>
        <v>0</v>
      </c>
      <c r="J159" s="23">
        <v>0</v>
      </c>
      <c r="K159" s="23">
        <v>0</v>
      </c>
      <c r="L159" s="23">
        <f>M159-K159</f>
        <v>0</v>
      </c>
      <c r="M159" s="23">
        <v>0</v>
      </c>
    </row>
    <row r="160" spans="1:14" ht="56.25">
      <c r="A160" s="76"/>
      <c r="B160" s="39"/>
      <c r="C160" s="39" t="s">
        <v>281</v>
      </c>
      <c r="D160" s="30" t="s">
        <v>282</v>
      </c>
      <c r="E160" s="31">
        <f>E161+E164+E165+E169+E170+E171+E172+E173+E174+E175+E176+E177+E183+E184+E185+E186+E187+E188+E189+E195+E196+E197+E198+E199+E200+E201+E202+E203+E204+E205+E206+E207+E208+E212+E213</f>
        <v>11297814388</v>
      </c>
      <c r="F160" s="31">
        <f aca="true" t="shared" si="67" ref="F160:M160">F161+F164+F165+F169+F170+F171+F172+F173+F174+F175+F176+F177+F183+F184+F185+F186+F187+F188+F189+F195+F196+F197+F198+F199+F200+F201+F202+F203+F204+F205+F206+F207+F208+F212+F213</f>
        <v>-4613052400</v>
      </c>
      <c r="G160" s="31">
        <f t="shared" si="67"/>
        <v>6684761988</v>
      </c>
      <c r="H160" s="31">
        <f t="shared" si="67"/>
        <v>10645954700</v>
      </c>
      <c r="I160" s="31">
        <f t="shared" si="67"/>
        <v>0</v>
      </c>
      <c r="J160" s="31">
        <f t="shared" si="67"/>
        <v>10645954700</v>
      </c>
      <c r="K160" s="31">
        <f t="shared" si="67"/>
        <v>11048839300</v>
      </c>
      <c r="L160" s="31">
        <f t="shared" si="67"/>
        <v>0</v>
      </c>
      <c r="M160" s="31">
        <f t="shared" si="67"/>
        <v>11048839300</v>
      </c>
      <c r="N160" s="129"/>
    </row>
    <row r="161" spans="1:13" ht="63.75" customHeight="1">
      <c r="A161" s="42" t="s">
        <v>432</v>
      </c>
      <c r="B161" s="16">
        <v>54950</v>
      </c>
      <c r="C161" s="42" t="s">
        <v>379</v>
      </c>
      <c r="D161" s="18" t="s">
        <v>283</v>
      </c>
      <c r="E161" s="19">
        <f aca="true" t="shared" si="68" ref="E161:M161">SUM(E162:E163)</f>
        <v>124759700</v>
      </c>
      <c r="F161" s="23">
        <f t="shared" si="68"/>
        <v>0</v>
      </c>
      <c r="G161" s="19">
        <f t="shared" si="68"/>
        <v>124759700</v>
      </c>
      <c r="H161" s="19">
        <f t="shared" si="68"/>
        <v>0</v>
      </c>
      <c r="I161" s="19">
        <f t="shared" si="68"/>
        <v>0</v>
      </c>
      <c r="J161" s="19">
        <f t="shared" si="68"/>
        <v>0</v>
      </c>
      <c r="K161" s="19">
        <f t="shared" si="68"/>
        <v>0</v>
      </c>
      <c r="L161" s="19">
        <f t="shared" si="68"/>
        <v>0</v>
      </c>
      <c r="M161" s="19">
        <f t="shared" si="68"/>
        <v>0</v>
      </c>
    </row>
    <row r="162" spans="1:13" s="52" customFormat="1" ht="75">
      <c r="A162" s="124">
        <v>819</v>
      </c>
      <c r="B162" s="60" t="s">
        <v>386</v>
      </c>
      <c r="C162" s="61" t="s">
        <v>328</v>
      </c>
      <c r="D162" s="58" t="s">
        <v>383</v>
      </c>
      <c r="E162" s="59">
        <v>105573900</v>
      </c>
      <c r="F162" s="59">
        <f>G162-E162</f>
        <v>0</v>
      </c>
      <c r="G162" s="59">
        <v>105573900</v>
      </c>
      <c r="H162" s="59"/>
      <c r="I162" s="59">
        <f>J162-H162</f>
        <v>0</v>
      </c>
      <c r="J162" s="59"/>
      <c r="K162" s="59"/>
      <c r="L162" s="59">
        <f>M162-K162</f>
        <v>0</v>
      </c>
      <c r="M162" s="59"/>
    </row>
    <row r="163" spans="1:13" s="52" customFormat="1" ht="75">
      <c r="A163" s="124">
        <v>825</v>
      </c>
      <c r="B163" s="60" t="s">
        <v>386</v>
      </c>
      <c r="C163" s="61" t="s">
        <v>328</v>
      </c>
      <c r="D163" s="58" t="s">
        <v>383</v>
      </c>
      <c r="E163" s="59">
        <v>19185800</v>
      </c>
      <c r="F163" s="59">
        <f>G163-E163</f>
        <v>0</v>
      </c>
      <c r="G163" s="59">
        <v>19185800</v>
      </c>
      <c r="H163" s="59"/>
      <c r="I163" s="59">
        <f>J163-H163</f>
        <v>0</v>
      </c>
      <c r="J163" s="59"/>
      <c r="K163" s="59"/>
      <c r="L163" s="59">
        <f>M163-K163</f>
        <v>0</v>
      </c>
      <c r="M163" s="59"/>
    </row>
    <row r="164" spans="1:13" s="52" customFormat="1" ht="269.25" customHeight="1">
      <c r="A164" s="42">
        <v>819</v>
      </c>
      <c r="B164" s="42">
        <v>50210</v>
      </c>
      <c r="C164" s="16" t="s">
        <v>419</v>
      </c>
      <c r="D164" s="18" t="s">
        <v>535</v>
      </c>
      <c r="E164" s="19">
        <v>329403800</v>
      </c>
      <c r="F164" s="19">
        <f>G164-E164</f>
        <v>0</v>
      </c>
      <c r="G164" s="19">
        <v>329403800</v>
      </c>
      <c r="H164" s="19"/>
      <c r="I164" s="19">
        <f>J164-H164</f>
        <v>0</v>
      </c>
      <c r="J164" s="19"/>
      <c r="K164" s="19"/>
      <c r="L164" s="19">
        <f>M164-K164</f>
        <v>0</v>
      </c>
      <c r="M164" s="19"/>
    </row>
    <row r="165" spans="1:13" ht="112.5">
      <c r="A165" s="42" t="s">
        <v>430</v>
      </c>
      <c r="B165" s="16">
        <v>50270</v>
      </c>
      <c r="C165" s="42" t="s">
        <v>337</v>
      </c>
      <c r="D165" s="18" t="s">
        <v>384</v>
      </c>
      <c r="E165" s="19">
        <f>E166+E167+E168</f>
        <v>10703800</v>
      </c>
      <c r="F165" s="19">
        <f aca="true" t="shared" si="69" ref="F165:M165">F166+F167+F168</f>
        <v>0</v>
      </c>
      <c r="G165" s="19">
        <f t="shared" si="69"/>
        <v>10703800</v>
      </c>
      <c r="H165" s="19">
        <f t="shared" si="69"/>
        <v>0</v>
      </c>
      <c r="I165" s="19">
        <f t="shared" si="69"/>
        <v>0</v>
      </c>
      <c r="J165" s="19">
        <f t="shared" si="69"/>
        <v>0</v>
      </c>
      <c r="K165" s="19">
        <f t="shared" si="69"/>
        <v>0</v>
      </c>
      <c r="L165" s="19">
        <f t="shared" si="69"/>
        <v>0</v>
      </c>
      <c r="M165" s="19">
        <f t="shared" si="69"/>
        <v>0</v>
      </c>
    </row>
    <row r="166" spans="1:13" ht="90">
      <c r="A166" s="42">
        <v>816</v>
      </c>
      <c r="B166" s="64">
        <v>50270</v>
      </c>
      <c r="C166" s="60" t="s">
        <v>337</v>
      </c>
      <c r="D166" s="58" t="s">
        <v>484</v>
      </c>
      <c r="E166" s="59">
        <f>4547200+2611400</f>
        <v>7158600</v>
      </c>
      <c r="F166" s="59">
        <f aca="true" t="shared" si="70" ref="F166:F176">G166-E166</f>
        <v>0</v>
      </c>
      <c r="G166" s="59">
        <f>4547200+2611400</f>
        <v>7158600</v>
      </c>
      <c r="H166" s="59"/>
      <c r="I166" s="59">
        <f aca="true" t="shared" si="71" ref="I166:I175">J166-H166</f>
        <v>0</v>
      </c>
      <c r="J166" s="59"/>
      <c r="K166" s="59"/>
      <c r="L166" s="59">
        <f>M166-K166</f>
        <v>0</v>
      </c>
      <c r="M166" s="59"/>
    </row>
    <row r="167" spans="1:13" ht="135">
      <c r="A167" s="42">
        <v>821</v>
      </c>
      <c r="B167" s="64">
        <v>50270</v>
      </c>
      <c r="C167" s="60" t="s">
        <v>337</v>
      </c>
      <c r="D167" s="58" t="s">
        <v>485</v>
      </c>
      <c r="E167" s="59">
        <v>1565800</v>
      </c>
      <c r="F167" s="59">
        <f t="shared" si="70"/>
        <v>0</v>
      </c>
      <c r="G167" s="59">
        <v>1565800</v>
      </c>
      <c r="H167" s="59"/>
      <c r="I167" s="59">
        <f t="shared" si="71"/>
        <v>0</v>
      </c>
      <c r="J167" s="59"/>
      <c r="K167" s="59"/>
      <c r="L167" s="59">
        <f>M167-K167</f>
        <v>0</v>
      </c>
      <c r="M167" s="59"/>
    </row>
    <row r="168" spans="1:13" ht="75">
      <c r="A168" s="42">
        <v>825</v>
      </c>
      <c r="B168" s="64">
        <v>50270</v>
      </c>
      <c r="C168" s="60" t="s">
        <v>337</v>
      </c>
      <c r="D168" s="58" t="s">
        <v>483</v>
      </c>
      <c r="E168" s="59">
        <v>1979400</v>
      </c>
      <c r="F168" s="59">
        <f t="shared" si="70"/>
        <v>0</v>
      </c>
      <c r="G168" s="59">
        <v>1979400</v>
      </c>
      <c r="H168" s="59"/>
      <c r="I168" s="59">
        <f t="shared" si="71"/>
        <v>0</v>
      </c>
      <c r="J168" s="59"/>
      <c r="K168" s="59"/>
      <c r="L168" s="59">
        <f>M168-K168</f>
        <v>0</v>
      </c>
      <c r="M168" s="59"/>
    </row>
    <row r="169" spans="1:18" ht="102" customHeight="1">
      <c r="A169" s="42">
        <v>821</v>
      </c>
      <c r="B169" s="16">
        <v>30090</v>
      </c>
      <c r="C169" s="16" t="s">
        <v>435</v>
      </c>
      <c r="D169" s="18" t="s">
        <v>436</v>
      </c>
      <c r="E169" s="19">
        <v>12000</v>
      </c>
      <c r="F169" s="127">
        <f t="shared" si="70"/>
        <v>21000</v>
      </c>
      <c r="G169" s="19">
        <f>8000+4000+16000+5000</f>
        <v>33000</v>
      </c>
      <c r="H169" s="68"/>
      <c r="I169" s="68"/>
      <c r="J169" s="68"/>
      <c r="K169" s="68"/>
      <c r="L169" s="68"/>
      <c r="M169" s="68"/>
      <c r="N169" s="1" t="s">
        <v>548</v>
      </c>
      <c r="R169" s="36"/>
    </row>
    <row r="170" spans="1:13" s="53" customFormat="1" ht="93.75">
      <c r="A170" s="16">
        <v>816</v>
      </c>
      <c r="B170" s="16">
        <v>50660</v>
      </c>
      <c r="C170" s="42" t="s">
        <v>338</v>
      </c>
      <c r="D170" s="18" t="s">
        <v>339</v>
      </c>
      <c r="E170" s="19">
        <v>49800</v>
      </c>
      <c r="F170" s="23">
        <f t="shared" si="70"/>
        <v>0</v>
      </c>
      <c r="G170" s="19">
        <v>49800</v>
      </c>
      <c r="H170" s="19"/>
      <c r="I170" s="19">
        <f t="shared" si="71"/>
        <v>0</v>
      </c>
      <c r="J170" s="19"/>
      <c r="K170" s="19"/>
      <c r="L170" s="19">
        <f aca="true" t="shared" si="72" ref="L170:L176">M170-K170</f>
        <v>0</v>
      </c>
      <c r="M170" s="19"/>
    </row>
    <row r="171" spans="1:13" s="53" customFormat="1" ht="112.5">
      <c r="A171" s="16">
        <v>825</v>
      </c>
      <c r="B171" s="16">
        <v>50810</v>
      </c>
      <c r="C171" s="42" t="s">
        <v>340</v>
      </c>
      <c r="D171" s="18" t="s">
        <v>412</v>
      </c>
      <c r="E171" s="23">
        <v>14079000</v>
      </c>
      <c r="F171" s="23">
        <f t="shared" si="70"/>
        <v>0</v>
      </c>
      <c r="G171" s="23">
        <v>14079000</v>
      </c>
      <c r="H171" s="23">
        <v>0</v>
      </c>
      <c r="I171" s="23">
        <f t="shared" si="71"/>
        <v>0</v>
      </c>
      <c r="J171" s="23">
        <v>0</v>
      </c>
      <c r="K171" s="23">
        <v>0</v>
      </c>
      <c r="L171" s="23">
        <f t="shared" si="72"/>
        <v>0</v>
      </c>
      <c r="M171" s="23">
        <v>0</v>
      </c>
    </row>
    <row r="172" spans="1:13" ht="131.25">
      <c r="A172" s="16">
        <v>821</v>
      </c>
      <c r="B172" s="16">
        <v>50820</v>
      </c>
      <c r="C172" s="42" t="s">
        <v>341</v>
      </c>
      <c r="D172" s="18" t="s">
        <v>342</v>
      </c>
      <c r="E172" s="23">
        <v>77360700</v>
      </c>
      <c r="F172" s="23">
        <f t="shared" si="70"/>
        <v>0</v>
      </c>
      <c r="G172" s="23">
        <v>77360700</v>
      </c>
      <c r="H172" s="23">
        <v>80630200</v>
      </c>
      <c r="I172" s="23">
        <f t="shared" si="71"/>
        <v>0</v>
      </c>
      <c r="J172" s="23">
        <v>80630200</v>
      </c>
      <c r="K172" s="23">
        <v>83855400</v>
      </c>
      <c r="L172" s="23">
        <f t="shared" si="72"/>
        <v>0</v>
      </c>
      <c r="M172" s="23">
        <v>83855400</v>
      </c>
    </row>
    <row r="173" spans="1:14" ht="140.25" customHeight="1">
      <c r="A173" s="16">
        <v>821</v>
      </c>
      <c r="B173" s="16">
        <v>50840</v>
      </c>
      <c r="C173" s="16" t="s">
        <v>406</v>
      </c>
      <c r="D173" s="18" t="s">
        <v>542</v>
      </c>
      <c r="E173" s="19">
        <v>223604900</v>
      </c>
      <c r="F173" s="128">
        <f t="shared" si="70"/>
        <v>18506200</v>
      </c>
      <c r="G173" s="23">
        <v>242111100</v>
      </c>
      <c r="H173" s="23"/>
      <c r="I173" s="23">
        <f t="shared" si="71"/>
        <v>0</v>
      </c>
      <c r="J173" s="23"/>
      <c r="K173" s="23"/>
      <c r="L173" s="23">
        <f t="shared" si="72"/>
        <v>0</v>
      </c>
      <c r="M173" s="19"/>
      <c r="N173" s="1" t="s">
        <v>548</v>
      </c>
    </row>
    <row r="174" spans="1:13" ht="168.75">
      <c r="A174" s="16">
        <v>832</v>
      </c>
      <c r="B174" s="16">
        <v>50860</v>
      </c>
      <c r="C174" s="42" t="s">
        <v>344</v>
      </c>
      <c r="D174" s="18" t="s">
        <v>343</v>
      </c>
      <c r="E174" s="19">
        <v>4377100</v>
      </c>
      <c r="F174" s="23">
        <f t="shared" si="70"/>
        <v>0</v>
      </c>
      <c r="G174" s="19">
        <v>4377100</v>
      </c>
      <c r="H174" s="19">
        <v>5030700</v>
      </c>
      <c r="I174" s="19">
        <f t="shared" si="71"/>
        <v>0</v>
      </c>
      <c r="J174" s="19">
        <v>5030700</v>
      </c>
      <c r="K174" s="19">
        <v>5024000</v>
      </c>
      <c r="L174" s="19">
        <f t="shared" si="72"/>
        <v>0</v>
      </c>
      <c r="M174" s="19">
        <v>5024000</v>
      </c>
    </row>
    <row r="175" spans="1:13" ht="157.5" customHeight="1">
      <c r="A175" s="42">
        <v>816</v>
      </c>
      <c r="B175" s="16">
        <v>50970</v>
      </c>
      <c r="C175" s="42" t="s">
        <v>346</v>
      </c>
      <c r="D175" s="18" t="s">
        <v>345</v>
      </c>
      <c r="E175" s="19">
        <v>19518000</v>
      </c>
      <c r="F175" s="23">
        <f t="shared" si="70"/>
        <v>0</v>
      </c>
      <c r="G175" s="19">
        <v>19518000</v>
      </c>
      <c r="H175" s="19"/>
      <c r="I175" s="19">
        <f t="shared" si="71"/>
        <v>0</v>
      </c>
      <c r="J175" s="19"/>
      <c r="K175" s="19"/>
      <c r="L175" s="19">
        <f t="shared" si="72"/>
        <v>0</v>
      </c>
      <c r="M175" s="19"/>
    </row>
    <row r="176" spans="1:13" ht="187.5">
      <c r="A176" s="42">
        <v>821</v>
      </c>
      <c r="B176" s="16">
        <v>52090</v>
      </c>
      <c r="C176" s="42" t="s">
        <v>416</v>
      </c>
      <c r="D176" s="18" t="s">
        <v>417</v>
      </c>
      <c r="E176" s="19">
        <v>2659200</v>
      </c>
      <c r="F176" s="23">
        <f t="shared" si="70"/>
        <v>0</v>
      </c>
      <c r="G176" s="19">
        <v>2659200</v>
      </c>
      <c r="H176" s="19"/>
      <c r="I176" s="19">
        <f>J176-H176</f>
        <v>0</v>
      </c>
      <c r="J176" s="19"/>
      <c r="K176" s="19"/>
      <c r="L176" s="19">
        <f t="shared" si="72"/>
        <v>0</v>
      </c>
      <c r="M176" s="19"/>
    </row>
    <row r="177" spans="1:13" ht="131.25">
      <c r="A177" s="42">
        <v>814</v>
      </c>
      <c r="B177" s="16">
        <v>53820</v>
      </c>
      <c r="C177" s="16" t="s">
        <v>286</v>
      </c>
      <c r="D177" s="18" t="s">
        <v>415</v>
      </c>
      <c r="E177" s="19">
        <f>SUM(E178:E182)</f>
        <v>52138500</v>
      </c>
      <c r="F177" s="19">
        <f aca="true" t="shared" si="73" ref="F177:M177">SUM(F178:F182)</f>
        <v>0</v>
      </c>
      <c r="G177" s="19">
        <f t="shared" si="73"/>
        <v>52138500</v>
      </c>
      <c r="H177" s="19">
        <f t="shared" si="73"/>
        <v>52650900</v>
      </c>
      <c r="I177" s="19">
        <f t="shared" si="73"/>
        <v>0</v>
      </c>
      <c r="J177" s="19">
        <f t="shared" si="73"/>
        <v>52650900</v>
      </c>
      <c r="K177" s="19">
        <f t="shared" si="73"/>
        <v>52650900</v>
      </c>
      <c r="L177" s="19">
        <f t="shared" si="73"/>
        <v>0</v>
      </c>
      <c r="M177" s="19">
        <f t="shared" si="73"/>
        <v>52650900</v>
      </c>
    </row>
    <row r="178" spans="1:13" ht="75">
      <c r="A178" s="125">
        <v>814</v>
      </c>
      <c r="B178" s="57">
        <v>53820</v>
      </c>
      <c r="C178" s="57" t="s">
        <v>286</v>
      </c>
      <c r="D178" s="58" t="s">
        <v>314</v>
      </c>
      <c r="E178" s="59">
        <v>7359300</v>
      </c>
      <c r="F178" s="59">
        <f aca="true" t="shared" si="74" ref="F178:F188">G178-E178</f>
        <v>0</v>
      </c>
      <c r="G178" s="59">
        <f>7278000+81300</f>
        <v>7359300</v>
      </c>
      <c r="H178" s="59">
        <v>8194800</v>
      </c>
      <c r="I178" s="59">
        <f aca="true" t="shared" si="75" ref="I178:I187">J178-H178</f>
        <v>0</v>
      </c>
      <c r="J178" s="59">
        <v>8194800</v>
      </c>
      <c r="K178" s="59">
        <v>8194800</v>
      </c>
      <c r="L178" s="59">
        <f aca="true" t="shared" si="76" ref="L178:L188">M178-K178</f>
        <v>0</v>
      </c>
      <c r="M178" s="59">
        <v>8194800</v>
      </c>
    </row>
    <row r="179" spans="1:13" ht="59.25" customHeight="1">
      <c r="A179" s="125">
        <v>814</v>
      </c>
      <c r="B179" s="57">
        <v>53820</v>
      </c>
      <c r="C179" s="57" t="s">
        <v>286</v>
      </c>
      <c r="D179" s="58" t="s">
        <v>315</v>
      </c>
      <c r="E179" s="62">
        <v>8085300</v>
      </c>
      <c r="F179" s="62">
        <f t="shared" si="74"/>
        <v>0</v>
      </c>
      <c r="G179" s="62">
        <v>8085300</v>
      </c>
      <c r="H179" s="62">
        <v>8184100</v>
      </c>
      <c r="I179" s="62">
        <f t="shared" si="75"/>
        <v>0</v>
      </c>
      <c r="J179" s="62">
        <v>8184100</v>
      </c>
      <c r="K179" s="62">
        <v>8184100</v>
      </c>
      <c r="L179" s="62">
        <f t="shared" si="76"/>
        <v>0</v>
      </c>
      <c r="M179" s="62">
        <v>8184100</v>
      </c>
    </row>
    <row r="180" spans="1:13" ht="120">
      <c r="A180" s="125">
        <v>814</v>
      </c>
      <c r="B180" s="57">
        <v>53820</v>
      </c>
      <c r="C180" s="57" t="s">
        <v>286</v>
      </c>
      <c r="D180" s="58" t="s">
        <v>316</v>
      </c>
      <c r="E180" s="59">
        <v>5436200</v>
      </c>
      <c r="F180" s="59">
        <f t="shared" si="74"/>
        <v>0</v>
      </c>
      <c r="G180" s="59">
        <v>5436200</v>
      </c>
      <c r="H180" s="59">
        <v>5371100</v>
      </c>
      <c r="I180" s="59">
        <f t="shared" si="75"/>
        <v>0</v>
      </c>
      <c r="J180" s="59">
        <v>5371100</v>
      </c>
      <c r="K180" s="59">
        <v>5371100</v>
      </c>
      <c r="L180" s="59">
        <f t="shared" si="76"/>
        <v>0</v>
      </c>
      <c r="M180" s="59">
        <v>5371100</v>
      </c>
    </row>
    <row r="181" spans="1:13" ht="46.5" customHeight="1">
      <c r="A181" s="125">
        <v>814</v>
      </c>
      <c r="B181" s="57">
        <v>53820</v>
      </c>
      <c r="C181" s="57" t="s">
        <v>286</v>
      </c>
      <c r="D181" s="58" t="s">
        <v>317</v>
      </c>
      <c r="E181" s="62">
        <v>1257700</v>
      </c>
      <c r="F181" s="62">
        <f t="shared" si="74"/>
        <v>0</v>
      </c>
      <c r="G181" s="62">
        <v>1257700</v>
      </c>
      <c r="H181" s="62">
        <v>3070400</v>
      </c>
      <c r="I181" s="62">
        <f t="shared" si="75"/>
        <v>0</v>
      </c>
      <c r="J181" s="62">
        <v>3070400</v>
      </c>
      <c r="K181" s="62">
        <v>3070400</v>
      </c>
      <c r="L181" s="62">
        <f t="shared" si="76"/>
        <v>0</v>
      </c>
      <c r="M181" s="62">
        <v>3070400</v>
      </c>
    </row>
    <row r="182" spans="1:13" ht="33" customHeight="1">
      <c r="A182" s="125">
        <v>814</v>
      </c>
      <c r="B182" s="57">
        <v>53820</v>
      </c>
      <c r="C182" s="57" t="s">
        <v>286</v>
      </c>
      <c r="D182" s="58" t="s">
        <v>403</v>
      </c>
      <c r="E182" s="62">
        <v>30000000</v>
      </c>
      <c r="F182" s="62">
        <f t="shared" si="74"/>
        <v>0</v>
      </c>
      <c r="G182" s="62">
        <v>30000000</v>
      </c>
      <c r="H182" s="62">
        <v>27830500</v>
      </c>
      <c r="I182" s="62">
        <f t="shared" si="75"/>
        <v>0</v>
      </c>
      <c r="J182" s="62">
        <v>27830500</v>
      </c>
      <c r="K182" s="62">
        <v>27830500</v>
      </c>
      <c r="L182" s="62">
        <f t="shared" si="76"/>
        <v>0</v>
      </c>
      <c r="M182" s="62">
        <v>27830500</v>
      </c>
    </row>
    <row r="183" spans="1:13" ht="150">
      <c r="A183" s="42">
        <v>814</v>
      </c>
      <c r="B183" s="16">
        <v>54020</v>
      </c>
      <c r="C183" s="16" t="s">
        <v>407</v>
      </c>
      <c r="D183" s="18" t="s">
        <v>543</v>
      </c>
      <c r="E183" s="19">
        <v>9871700</v>
      </c>
      <c r="F183" s="23">
        <f t="shared" si="74"/>
        <v>0</v>
      </c>
      <c r="G183" s="23">
        <v>9871700</v>
      </c>
      <c r="H183" s="23">
        <v>9871700</v>
      </c>
      <c r="I183" s="23">
        <f>J183-H183</f>
        <v>0</v>
      </c>
      <c r="J183" s="23">
        <v>9871700</v>
      </c>
      <c r="K183" s="23">
        <v>9871700</v>
      </c>
      <c r="L183" s="23">
        <f t="shared" si="76"/>
        <v>0</v>
      </c>
      <c r="M183" s="23">
        <v>9871700</v>
      </c>
    </row>
    <row r="184" spans="1:13" ht="99.75" customHeight="1">
      <c r="A184" s="42">
        <v>821</v>
      </c>
      <c r="B184" s="16">
        <v>54620</v>
      </c>
      <c r="C184" s="16" t="s">
        <v>404</v>
      </c>
      <c r="D184" s="18" t="s">
        <v>405</v>
      </c>
      <c r="E184" s="19">
        <v>15293400</v>
      </c>
      <c r="F184" s="23">
        <f t="shared" si="74"/>
        <v>0</v>
      </c>
      <c r="G184" s="23">
        <v>15293400</v>
      </c>
      <c r="H184" s="23"/>
      <c r="I184" s="23">
        <f>J184-H184</f>
        <v>0</v>
      </c>
      <c r="J184" s="23"/>
      <c r="K184" s="23"/>
      <c r="L184" s="23">
        <f t="shared" si="76"/>
        <v>0</v>
      </c>
      <c r="M184" s="19"/>
    </row>
    <row r="185" spans="1:13" ht="112.5">
      <c r="A185" s="42">
        <v>815</v>
      </c>
      <c r="B185" s="16">
        <v>54670</v>
      </c>
      <c r="C185" s="42" t="s">
        <v>378</v>
      </c>
      <c r="D185" s="18" t="s">
        <v>428</v>
      </c>
      <c r="E185" s="33">
        <v>31822200</v>
      </c>
      <c r="F185" s="23">
        <f t="shared" si="74"/>
        <v>0</v>
      </c>
      <c r="G185" s="33">
        <v>31822200</v>
      </c>
      <c r="H185" s="19">
        <v>31822200</v>
      </c>
      <c r="I185" s="19">
        <f>J185-H185</f>
        <v>0</v>
      </c>
      <c r="J185" s="19">
        <v>31822200</v>
      </c>
      <c r="K185" s="19"/>
      <c r="L185" s="19">
        <f t="shared" si="76"/>
        <v>0</v>
      </c>
      <c r="M185" s="19"/>
    </row>
    <row r="186" spans="1:13" ht="211.5" customHeight="1">
      <c r="A186" s="16">
        <v>821</v>
      </c>
      <c r="B186" s="42">
        <v>54970</v>
      </c>
      <c r="C186" s="16" t="s">
        <v>418</v>
      </c>
      <c r="D186" s="18" t="s">
        <v>427</v>
      </c>
      <c r="E186" s="19">
        <v>25832500</v>
      </c>
      <c r="F186" s="23">
        <f t="shared" si="74"/>
        <v>0</v>
      </c>
      <c r="G186" s="19">
        <v>25832500</v>
      </c>
      <c r="H186" s="19"/>
      <c r="I186" s="19">
        <f t="shared" si="75"/>
        <v>0</v>
      </c>
      <c r="J186" s="19"/>
      <c r="K186" s="19"/>
      <c r="L186" s="19">
        <f t="shared" si="76"/>
        <v>0</v>
      </c>
      <c r="M186" s="19"/>
    </row>
    <row r="187" spans="1:13" ht="93.75">
      <c r="A187" s="42">
        <v>811</v>
      </c>
      <c r="B187" s="42" t="s">
        <v>421</v>
      </c>
      <c r="C187" s="42" t="s">
        <v>429</v>
      </c>
      <c r="D187" s="55" t="s">
        <v>385</v>
      </c>
      <c r="E187" s="33">
        <v>1938400</v>
      </c>
      <c r="F187" s="23">
        <f t="shared" si="74"/>
        <v>0</v>
      </c>
      <c r="G187" s="33">
        <v>1938400</v>
      </c>
      <c r="H187" s="19">
        <v>2018100</v>
      </c>
      <c r="I187" s="19">
        <f t="shared" si="75"/>
        <v>0</v>
      </c>
      <c r="J187" s="19">
        <v>2018100</v>
      </c>
      <c r="K187" s="19">
        <v>2017900</v>
      </c>
      <c r="L187" s="19">
        <f t="shared" si="76"/>
        <v>0</v>
      </c>
      <c r="M187" s="19">
        <v>2017900</v>
      </c>
    </row>
    <row r="188" spans="1:13" ht="112.5">
      <c r="A188" s="42">
        <v>815</v>
      </c>
      <c r="B188" s="16">
        <v>55170</v>
      </c>
      <c r="C188" s="16" t="s">
        <v>410</v>
      </c>
      <c r="D188" s="18" t="s">
        <v>545</v>
      </c>
      <c r="E188" s="19">
        <v>3447300</v>
      </c>
      <c r="F188" s="128">
        <f t="shared" si="74"/>
        <v>10000000</v>
      </c>
      <c r="G188" s="23">
        <v>13447300</v>
      </c>
      <c r="H188" s="23">
        <v>3447300</v>
      </c>
      <c r="I188" s="19">
        <f>J188-H188</f>
        <v>0</v>
      </c>
      <c r="J188" s="23">
        <v>3447300</v>
      </c>
      <c r="K188" s="23"/>
      <c r="L188" s="23">
        <f t="shared" si="76"/>
        <v>0</v>
      </c>
      <c r="M188" s="19"/>
    </row>
    <row r="189" spans="1:13" ht="72.75" customHeight="1">
      <c r="A189" s="42">
        <v>815</v>
      </c>
      <c r="B189" s="16">
        <v>55190</v>
      </c>
      <c r="C189" s="42" t="s">
        <v>287</v>
      </c>
      <c r="D189" s="18" t="s">
        <v>347</v>
      </c>
      <c r="E189" s="19">
        <f>SUM(E190:E194)</f>
        <v>4700000</v>
      </c>
      <c r="F189" s="19">
        <f aca="true" t="shared" si="77" ref="F189:M189">SUM(F190:F194)</f>
        <v>0</v>
      </c>
      <c r="G189" s="19">
        <f t="shared" si="77"/>
        <v>4700000</v>
      </c>
      <c r="H189" s="19">
        <f t="shared" si="77"/>
        <v>4700000</v>
      </c>
      <c r="I189" s="19">
        <f t="shared" si="77"/>
        <v>0</v>
      </c>
      <c r="J189" s="19">
        <f t="shared" si="77"/>
        <v>4700000</v>
      </c>
      <c r="K189" s="19">
        <f t="shared" si="77"/>
        <v>4700000</v>
      </c>
      <c r="L189" s="19">
        <f t="shared" si="77"/>
        <v>0</v>
      </c>
      <c r="M189" s="19">
        <f t="shared" si="77"/>
        <v>4700000</v>
      </c>
    </row>
    <row r="190" spans="1:13" ht="62.25" customHeight="1">
      <c r="A190" s="125">
        <v>815</v>
      </c>
      <c r="B190" s="57">
        <v>55190</v>
      </c>
      <c r="C190" s="57" t="s">
        <v>287</v>
      </c>
      <c r="D190" s="58" t="s">
        <v>319</v>
      </c>
      <c r="E190" s="59">
        <v>159400</v>
      </c>
      <c r="F190" s="59">
        <f aca="true" t="shared" si="78" ref="F190:F207">G190-E190</f>
        <v>0</v>
      </c>
      <c r="G190" s="59">
        <f>170000-10600</f>
        <v>159400</v>
      </c>
      <c r="H190" s="59">
        <v>159400</v>
      </c>
      <c r="I190" s="59">
        <f aca="true" t="shared" si="79" ref="I190:I207">J190-H190</f>
        <v>0</v>
      </c>
      <c r="J190" s="59">
        <f>170000-10600</f>
        <v>159400</v>
      </c>
      <c r="K190" s="59">
        <v>159400</v>
      </c>
      <c r="L190" s="59">
        <f aca="true" t="shared" si="80" ref="L190:L213">M190-K190</f>
        <v>0</v>
      </c>
      <c r="M190" s="59">
        <f>170000-10600</f>
        <v>159400</v>
      </c>
    </row>
    <row r="191" spans="1:13" ht="62.25" customHeight="1">
      <c r="A191" s="125">
        <v>815</v>
      </c>
      <c r="B191" s="57">
        <v>55190</v>
      </c>
      <c r="C191" s="57" t="s">
        <v>287</v>
      </c>
      <c r="D191" s="58" t="s">
        <v>320</v>
      </c>
      <c r="E191" s="62">
        <v>378000</v>
      </c>
      <c r="F191" s="62">
        <f t="shared" si="78"/>
        <v>0</v>
      </c>
      <c r="G191" s="62">
        <v>378000</v>
      </c>
      <c r="H191" s="59">
        <v>378000</v>
      </c>
      <c r="I191" s="59">
        <f t="shared" si="79"/>
        <v>0</v>
      </c>
      <c r="J191" s="59">
        <v>378000</v>
      </c>
      <c r="K191" s="59">
        <v>378000</v>
      </c>
      <c r="L191" s="59">
        <f t="shared" si="80"/>
        <v>0</v>
      </c>
      <c r="M191" s="59">
        <v>378000</v>
      </c>
    </row>
    <row r="192" spans="1:13" ht="62.25" customHeight="1">
      <c r="A192" s="125">
        <v>815</v>
      </c>
      <c r="B192" s="57">
        <v>55190</v>
      </c>
      <c r="C192" s="57" t="s">
        <v>287</v>
      </c>
      <c r="D192" s="58" t="s">
        <v>321</v>
      </c>
      <c r="E192" s="59">
        <v>2212600</v>
      </c>
      <c r="F192" s="65">
        <f t="shared" si="78"/>
        <v>0</v>
      </c>
      <c r="G192" s="59">
        <v>2212600</v>
      </c>
      <c r="H192" s="59">
        <v>2212600</v>
      </c>
      <c r="I192" s="65">
        <f t="shared" si="79"/>
        <v>0</v>
      </c>
      <c r="J192" s="59">
        <f>2212600</f>
        <v>2212600</v>
      </c>
      <c r="K192" s="59">
        <v>2212600</v>
      </c>
      <c r="L192" s="65">
        <f t="shared" si="80"/>
        <v>0</v>
      </c>
      <c r="M192" s="59">
        <v>2212600</v>
      </c>
    </row>
    <row r="193" spans="1:13" ht="62.25" customHeight="1">
      <c r="A193" s="125">
        <v>815</v>
      </c>
      <c r="B193" s="57">
        <v>55190</v>
      </c>
      <c r="C193" s="57" t="s">
        <v>287</v>
      </c>
      <c r="D193" s="58" t="s">
        <v>322</v>
      </c>
      <c r="E193" s="62">
        <v>450000</v>
      </c>
      <c r="F193" s="62">
        <f t="shared" si="78"/>
        <v>0</v>
      </c>
      <c r="G193" s="62">
        <v>450000</v>
      </c>
      <c r="H193" s="59">
        <v>450000</v>
      </c>
      <c r="I193" s="59">
        <f t="shared" si="79"/>
        <v>0</v>
      </c>
      <c r="J193" s="59">
        <v>450000</v>
      </c>
      <c r="K193" s="59">
        <v>450000</v>
      </c>
      <c r="L193" s="59">
        <f t="shared" si="80"/>
        <v>0</v>
      </c>
      <c r="M193" s="59">
        <v>450000</v>
      </c>
    </row>
    <row r="194" spans="1:13" ht="62.25" customHeight="1">
      <c r="A194" s="125">
        <v>815</v>
      </c>
      <c r="B194" s="57">
        <v>55190</v>
      </c>
      <c r="C194" s="57" t="s">
        <v>287</v>
      </c>
      <c r="D194" s="58" t="s">
        <v>323</v>
      </c>
      <c r="E194" s="62">
        <v>1500000</v>
      </c>
      <c r="F194" s="62">
        <f t="shared" si="78"/>
        <v>0</v>
      </c>
      <c r="G194" s="62">
        <v>1500000</v>
      </c>
      <c r="H194" s="59">
        <v>1500000</v>
      </c>
      <c r="I194" s="59">
        <f t="shared" si="79"/>
        <v>0</v>
      </c>
      <c r="J194" s="59">
        <v>1500000</v>
      </c>
      <c r="K194" s="59">
        <v>1500000</v>
      </c>
      <c r="L194" s="59">
        <f t="shared" si="80"/>
        <v>0</v>
      </c>
      <c r="M194" s="59">
        <v>1500000</v>
      </c>
    </row>
    <row r="195" spans="1:13" ht="114.75" customHeight="1">
      <c r="A195" s="42">
        <v>816</v>
      </c>
      <c r="B195" s="16">
        <v>55200</v>
      </c>
      <c r="C195" s="42" t="s">
        <v>381</v>
      </c>
      <c r="D195" s="18" t="s">
        <v>348</v>
      </c>
      <c r="E195" s="33">
        <v>301682000</v>
      </c>
      <c r="F195" s="32">
        <f t="shared" si="78"/>
        <v>0</v>
      </c>
      <c r="G195" s="33">
        <v>301682000</v>
      </c>
      <c r="H195" s="19">
        <v>435505200</v>
      </c>
      <c r="I195" s="19">
        <f t="shared" si="79"/>
        <v>0</v>
      </c>
      <c r="J195" s="19">
        <v>435505200</v>
      </c>
      <c r="K195" s="19">
        <v>521228100</v>
      </c>
      <c r="L195" s="19">
        <f t="shared" si="80"/>
        <v>0</v>
      </c>
      <c r="M195" s="19">
        <v>521228100</v>
      </c>
    </row>
    <row r="196" spans="1:13" ht="131.25">
      <c r="A196" s="42">
        <v>840</v>
      </c>
      <c r="B196" s="16">
        <v>55270</v>
      </c>
      <c r="C196" s="42" t="s">
        <v>408</v>
      </c>
      <c r="D196" s="18" t="s">
        <v>409</v>
      </c>
      <c r="E196" s="33">
        <v>30715900</v>
      </c>
      <c r="F196" s="32">
        <f t="shared" si="78"/>
        <v>0</v>
      </c>
      <c r="G196" s="33">
        <v>30715900</v>
      </c>
      <c r="H196" s="19">
        <v>24118900</v>
      </c>
      <c r="I196" s="19">
        <f t="shared" si="79"/>
        <v>0</v>
      </c>
      <c r="J196" s="19">
        <v>24118900</v>
      </c>
      <c r="K196" s="19">
        <v>29136800</v>
      </c>
      <c r="L196" s="19">
        <f t="shared" si="80"/>
        <v>0</v>
      </c>
      <c r="M196" s="19">
        <v>29136800</v>
      </c>
    </row>
    <row r="197" spans="1:13" ht="141" customHeight="1">
      <c r="A197" s="42">
        <v>816</v>
      </c>
      <c r="B197" s="25">
        <v>55330</v>
      </c>
      <c r="C197" s="16" t="s">
        <v>389</v>
      </c>
      <c r="D197" s="18" t="s">
        <v>400</v>
      </c>
      <c r="E197" s="33">
        <v>34354400</v>
      </c>
      <c r="F197" s="32">
        <f t="shared" si="78"/>
        <v>0</v>
      </c>
      <c r="G197" s="33">
        <v>34354400</v>
      </c>
      <c r="H197" s="19"/>
      <c r="I197" s="19">
        <f t="shared" si="79"/>
        <v>0</v>
      </c>
      <c r="J197" s="19"/>
      <c r="K197" s="19"/>
      <c r="L197" s="19">
        <f t="shared" si="80"/>
        <v>0</v>
      </c>
      <c r="M197" s="19"/>
    </row>
    <row r="198" spans="1:13" ht="177.75" customHeight="1">
      <c r="A198" s="42">
        <v>816</v>
      </c>
      <c r="B198" s="25">
        <v>55340</v>
      </c>
      <c r="C198" s="16" t="s">
        <v>390</v>
      </c>
      <c r="D198" s="18" t="s">
        <v>401</v>
      </c>
      <c r="E198" s="33">
        <v>3495400</v>
      </c>
      <c r="F198" s="32">
        <f t="shared" si="78"/>
        <v>0</v>
      </c>
      <c r="G198" s="33">
        <v>3495400</v>
      </c>
      <c r="H198" s="19"/>
      <c r="I198" s="19">
        <f>J198-H198</f>
        <v>0</v>
      </c>
      <c r="J198" s="19"/>
      <c r="K198" s="19"/>
      <c r="L198" s="19">
        <f t="shared" si="80"/>
        <v>0</v>
      </c>
      <c r="M198" s="19"/>
    </row>
    <row r="199" spans="1:13" ht="93.75">
      <c r="A199" s="42">
        <v>817</v>
      </c>
      <c r="B199" s="16">
        <v>55410</v>
      </c>
      <c r="C199" s="16" t="s">
        <v>327</v>
      </c>
      <c r="D199" s="18" t="s">
        <v>544</v>
      </c>
      <c r="E199" s="32">
        <v>205282400</v>
      </c>
      <c r="F199" s="32">
        <f t="shared" si="78"/>
        <v>0</v>
      </c>
      <c r="G199" s="32">
        <v>205282400</v>
      </c>
      <c r="H199" s="32">
        <v>205361700</v>
      </c>
      <c r="I199" s="33">
        <f>J199-H199</f>
        <v>0</v>
      </c>
      <c r="J199" s="32">
        <v>205361700</v>
      </c>
      <c r="K199" s="33">
        <v>205361700</v>
      </c>
      <c r="L199" s="32">
        <f>M199-K199</f>
        <v>0</v>
      </c>
      <c r="M199" s="32">
        <v>205361700</v>
      </c>
    </row>
    <row r="200" spans="1:14" ht="93.75">
      <c r="A200" s="42">
        <v>817</v>
      </c>
      <c r="B200" s="42" t="s">
        <v>558</v>
      </c>
      <c r="C200" s="16" t="s">
        <v>327</v>
      </c>
      <c r="D200" s="18" t="s">
        <v>559</v>
      </c>
      <c r="E200" s="32"/>
      <c r="F200" s="127">
        <f t="shared" si="78"/>
        <v>70645100</v>
      </c>
      <c r="G200" s="32">
        <v>70645100</v>
      </c>
      <c r="H200" s="33"/>
      <c r="I200" s="33">
        <f t="shared" si="79"/>
        <v>0</v>
      </c>
      <c r="J200" s="33"/>
      <c r="K200" s="33"/>
      <c r="L200" s="33">
        <f t="shared" si="80"/>
        <v>0</v>
      </c>
      <c r="M200" s="33"/>
      <c r="N200" s="1" t="s">
        <v>548</v>
      </c>
    </row>
    <row r="201" spans="1:13" ht="75">
      <c r="A201" s="42">
        <v>817</v>
      </c>
      <c r="B201" s="16">
        <v>55420</v>
      </c>
      <c r="C201" s="16" t="s">
        <v>288</v>
      </c>
      <c r="D201" s="18" t="s">
        <v>411</v>
      </c>
      <c r="E201" s="33">
        <v>127412300</v>
      </c>
      <c r="F201" s="32">
        <f t="shared" si="78"/>
        <v>0</v>
      </c>
      <c r="G201" s="33">
        <v>127412300</v>
      </c>
      <c r="H201" s="19">
        <v>127412300</v>
      </c>
      <c r="I201" s="19">
        <f t="shared" si="79"/>
        <v>0</v>
      </c>
      <c r="J201" s="19">
        <v>127412300</v>
      </c>
      <c r="K201" s="19">
        <v>127412300</v>
      </c>
      <c r="L201" s="19">
        <f t="shared" si="80"/>
        <v>0</v>
      </c>
      <c r="M201" s="19">
        <v>127412300</v>
      </c>
    </row>
    <row r="202" spans="1:13" ht="112.5">
      <c r="A202" s="42">
        <v>817</v>
      </c>
      <c r="B202" s="16">
        <v>55430</v>
      </c>
      <c r="C202" s="42" t="s">
        <v>349</v>
      </c>
      <c r="D202" s="18" t="s">
        <v>380</v>
      </c>
      <c r="E202" s="33">
        <v>1537065100</v>
      </c>
      <c r="F202" s="32">
        <f t="shared" si="78"/>
        <v>0</v>
      </c>
      <c r="G202" s="33">
        <v>1537065100</v>
      </c>
      <c r="H202" s="19">
        <v>1503530500</v>
      </c>
      <c r="I202" s="19">
        <f t="shared" si="79"/>
        <v>0</v>
      </c>
      <c r="J202" s="19">
        <v>1503530500</v>
      </c>
      <c r="K202" s="19">
        <v>1503530500</v>
      </c>
      <c r="L202" s="19">
        <f t="shared" si="80"/>
        <v>0</v>
      </c>
      <c r="M202" s="19">
        <v>1503530500</v>
      </c>
    </row>
    <row r="203" spans="1:13" ht="112.5">
      <c r="A203" s="42">
        <v>817</v>
      </c>
      <c r="B203" s="16">
        <v>55440</v>
      </c>
      <c r="C203" s="16" t="s">
        <v>326</v>
      </c>
      <c r="D203" s="18" t="s">
        <v>541</v>
      </c>
      <c r="E203" s="33">
        <v>7171466700</v>
      </c>
      <c r="F203" s="127">
        <f t="shared" si="78"/>
        <v>-4712224700</v>
      </c>
      <c r="G203" s="33">
        <v>2459242000</v>
      </c>
      <c r="H203" s="19">
        <v>7487852800</v>
      </c>
      <c r="I203" s="19">
        <f t="shared" si="79"/>
        <v>0</v>
      </c>
      <c r="J203" s="19">
        <v>7487852800</v>
      </c>
      <c r="K203" s="19">
        <v>7849968500</v>
      </c>
      <c r="L203" s="19">
        <f t="shared" si="80"/>
        <v>0</v>
      </c>
      <c r="M203" s="19">
        <v>7849968500</v>
      </c>
    </row>
    <row r="204" spans="1:13" ht="112.5">
      <c r="A204" s="42">
        <v>812</v>
      </c>
      <c r="B204" s="16">
        <v>55550</v>
      </c>
      <c r="C204" s="42" t="s">
        <v>350</v>
      </c>
      <c r="D204" s="18" t="s">
        <v>413</v>
      </c>
      <c r="E204" s="33">
        <v>251743700</v>
      </c>
      <c r="F204" s="32">
        <f t="shared" si="78"/>
        <v>0</v>
      </c>
      <c r="G204" s="33">
        <v>251743700</v>
      </c>
      <c r="H204" s="19">
        <v>250727100</v>
      </c>
      <c r="I204" s="19">
        <f t="shared" si="79"/>
        <v>0</v>
      </c>
      <c r="J204" s="19">
        <v>250727100</v>
      </c>
      <c r="K204" s="19">
        <v>250727100</v>
      </c>
      <c r="L204" s="19">
        <f t="shared" si="80"/>
        <v>0</v>
      </c>
      <c r="M204" s="19">
        <v>250727100</v>
      </c>
    </row>
    <row r="205" spans="1:13" ht="93.75">
      <c r="A205" s="42">
        <v>812</v>
      </c>
      <c r="B205" s="16">
        <v>55600</v>
      </c>
      <c r="C205" s="16" t="s">
        <v>330</v>
      </c>
      <c r="D205" s="18" t="s">
        <v>414</v>
      </c>
      <c r="E205" s="33">
        <v>5299400</v>
      </c>
      <c r="F205" s="32">
        <f t="shared" si="78"/>
        <v>0</v>
      </c>
      <c r="G205" s="33">
        <v>5299400</v>
      </c>
      <c r="H205" s="19">
        <v>5407600</v>
      </c>
      <c r="I205" s="19">
        <f t="shared" si="79"/>
        <v>0</v>
      </c>
      <c r="J205" s="19">
        <v>5407600</v>
      </c>
      <c r="K205" s="19">
        <v>5407600</v>
      </c>
      <c r="L205" s="19">
        <f t="shared" si="80"/>
        <v>0</v>
      </c>
      <c r="M205" s="19">
        <v>5407600</v>
      </c>
    </row>
    <row r="206" spans="1:13" ht="150">
      <c r="A206" s="16">
        <v>817</v>
      </c>
      <c r="B206" s="42" t="s">
        <v>395</v>
      </c>
      <c r="C206" s="16" t="s">
        <v>393</v>
      </c>
      <c r="D206" s="56" t="s">
        <v>397</v>
      </c>
      <c r="E206" s="19">
        <v>19967600</v>
      </c>
      <c r="F206" s="32">
        <f t="shared" si="78"/>
        <v>0</v>
      </c>
      <c r="G206" s="19">
        <v>19967600</v>
      </c>
      <c r="H206" s="19">
        <v>15540800</v>
      </c>
      <c r="I206" s="19">
        <f t="shared" si="79"/>
        <v>0</v>
      </c>
      <c r="J206" s="19">
        <v>15540800</v>
      </c>
      <c r="K206" s="19">
        <v>7174600</v>
      </c>
      <c r="L206" s="19">
        <f t="shared" si="80"/>
        <v>0</v>
      </c>
      <c r="M206" s="19">
        <v>7174600</v>
      </c>
    </row>
    <row r="207" spans="1:13" ht="150">
      <c r="A207" s="16">
        <v>817</v>
      </c>
      <c r="B207" s="42">
        <v>55670</v>
      </c>
      <c r="C207" s="16" t="s">
        <v>393</v>
      </c>
      <c r="D207" s="56" t="s">
        <v>398</v>
      </c>
      <c r="E207" s="19">
        <v>663400</v>
      </c>
      <c r="F207" s="32">
        <f t="shared" si="78"/>
        <v>0</v>
      </c>
      <c r="G207" s="19">
        <v>663400</v>
      </c>
      <c r="H207" s="19">
        <v>357100</v>
      </c>
      <c r="I207" s="19">
        <f t="shared" si="79"/>
        <v>0</v>
      </c>
      <c r="J207" s="19">
        <v>357100</v>
      </c>
      <c r="K207" s="19">
        <v>376600</v>
      </c>
      <c r="L207" s="19">
        <f t="shared" si="80"/>
        <v>0</v>
      </c>
      <c r="M207" s="19">
        <v>376600</v>
      </c>
    </row>
    <row r="208" spans="1:13" ht="75">
      <c r="A208" s="16">
        <v>817</v>
      </c>
      <c r="B208" s="42"/>
      <c r="C208" s="42" t="s">
        <v>284</v>
      </c>
      <c r="D208" s="18" t="s">
        <v>285</v>
      </c>
      <c r="E208" s="19">
        <f>E209+E210+E211</f>
        <v>453605788</v>
      </c>
      <c r="F208" s="19">
        <f aca="true" t="shared" si="81" ref="F208:M208">F209+F210+F211</f>
        <v>0</v>
      </c>
      <c r="G208" s="19">
        <f t="shared" si="81"/>
        <v>453605788</v>
      </c>
      <c r="H208" s="19">
        <f t="shared" si="81"/>
        <v>297160600</v>
      </c>
      <c r="I208" s="19">
        <f t="shared" si="81"/>
        <v>0</v>
      </c>
      <c r="J208" s="19">
        <f t="shared" si="81"/>
        <v>297160600</v>
      </c>
      <c r="K208" s="19">
        <f t="shared" si="81"/>
        <v>309583600</v>
      </c>
      <c r="L208" s="19">
        <f t="shared" si="81"/>
        <v>0</v>
      </c>
      <c r="M208" s="19">
        <f t="shared" si="81"/>
        <v>309583600</v>
      </c>
    </row>
    <row r="209" spans="1:13" s="114" customFormat="1" ht="124.5" customHeight="1">
      <c r="A209" s="109">
        <v>817</v>
      </c>
      <c r="B209" s="110" t="s">
        <v>396</v>
      </c>
      <c r="C209" s="111" t="s">
        <v>284</v>
      </c>
      <c r="D209" s="112" t="s">
        <v>521</v>
      </c>
      <c r="E209" s="113">
        <v>31292800</v>
      </c>
      <c r="F209" s="113">
        <f>G209-E209</f>
        <v>0</v>
      </c>
      <c r="G209" s="113">
        <v>31292800</v>
      </c>
      <c r="H209" s="113"/>
      <c r="I209" s="113">
        <f>J209-H209</f>
        <v>0</v>
      </c>
      <c r="J209" s="113"/>
      <c r="K209" s="113"/>
      <c r="L209" s="113">
        <f t="shared" si="80"/>
        <v>0</v>
      </c>
      <c r="M209" s="113"/>
    </row>
    <row r="210" spans="1:13" s="114" customFormat="1" ht="94.5">
      <c r="A210" s="109">
        <v>819</v>
      </c>
      <c r="B210" s="110" t="s">
        <v>396</v>
      </c>
      <c r="C210" s="111" t="s">
        <v>284</v>
      </c>
      <c r="D210" s="112" t="s">
        <v>522</v>
      </c>
      <c r="E210" s="113">
        <v>46141000</v>
      </c>
      <c r="F210" s="113">
        <f>G210-E210</f>
        <v>0</v>
      </c>
      <c r="G210" s="113">
        <f>20687000+25454000</f>
        <v>46141000</v>
      </c>
      <c r="H210" s="113">
        <v>46700000</v>
      </c>
      <c r="I210" s="113">
        <f>J210-H210</f>
        <v>0</v>
      </c>
      <c r="J210" s="113">
        <v>46700000</v>
      </c>
      <c r="K210" s="113">
        <v>48551000</v>
      </c>
      <c r="L210" s="113">
        <f t="shared" si="80"/>
        <v>0</v>
      </c>
      <c r="M210" s="113">
        <v>48551000</v>
      </c>
    </row>
    <row r="211" spans="1:13" s="114" customFormat="1" ht="164.25" customHeight="1">
      <c r="A211" s="109">
        <v>819</v>
      </c>
      <c r="B211" s="110">
        <v>55670</v>
      </c>
      <c r="C211" s="111" t="s">
        <v>284</v>
      </c>
      <c r="D211" s="112" t="s">
        <v>523</v>
      </c>
      <c r="E211" s="113">
        <v>376171988</v>
      </c>
      <c r="F211" s="113">
        <f>G211-E211</f>
        <v>0</v>
      </c>
      <c r="G211" s="113">
        <f>358832100+17339888</f>
        <v>376171988</v>
      </c>
      <c r="H211" s="113">
        <v>250460600</v>
      </c>
      <c r="I211" s="113">
        <f>J211-H211</f>
        <v>0</v>
      </c>
      <c r="J211" s="113">
        <v>250460600</v>
      </c>
      <c r="K211" s="113">
        <v>261032600</v>
      </c>
      <c r="L211" s="113">
        <f t="shared" si="80"/>
        <v>0</v>
      </c>
      <c r="M211" s="113">
        <v>261032600</v>
      </c>
    </row>
    <row r="212" spans="1:13" ht="93.75">
      <c r="A212" s="16">
        <v>817</v>
      </c>
      <c r="B212" s="42" t="s">
        <v>491</v>
      </c>
      <c r="C212" s="16" t="s">
        <v>392</v>
      </c>
      <c r="D212" s="56" t="s">
        <v>391</v>
      </c>
      <c r="E212" s="19">
        <v>105412000</v>
      </c>
      <c r="F212" s="19">
        <f>G212-E212</f>
        <v>0</v>
      </c>
      <c r="G212" s="19">
        <v>105412000</v>
      </c>
      <c r="H212" s="19">
        <v>102809000</v>
      </c>
      <c r="I212" s="19">
        <f>J212-H212</f>
        <v>0</v>
      </c>
      <c r="J212" s="19">
        <v>102809000</v>
      </c>
      <c r="K212" s="19">
        <v>80812000</v>
      </c>
      <c r="L212" s="19">
        <f t="shared" si="80"/>
        <v>0</v>
      </c>
      <c r="M212" s="19">
        <v>80812000</v>
      </c>
    </row>
    <row r="213" spans="1:13" ht="168.75">
      <c r="A213" s="16">
        <v>814</v>
      </c>
      <c r="B213" s="42" t="s">
        <v>557</v>
      </c>
      <c r="C213" s="42" t="s">
        <v>492</v>
      </c>
      <c r="D213" s="56" t="s">
        <v>515</v>
      </c>
      <c r="E213" s="19">
        <v>98076300</v>
      </c>
      <c r="F213" s="19">
        <f>G213-E213</f>
        <v>0</v>
      </c>
      <c r="G213" s="19">
        <v>98076300</v>
      </c>
      <c r="H213" s="19"/>
      <c r="I213" s="19">
        <f>J213-H213</f>
        <v>0</v>
      </c>
      <c r="J213" s="19"/>
      <c r="K213" s="19"/>
      <c r="L213" s="19">
        <f t="shared" si="80"/>
        <v>0</v>
      </c>
      <c r="M213" s="19"/>
    </row>
    <row r="214" spans="1:13" ht="46.5" customHeight="1">
      <c r="A214" s="76"/>
      <c r="B214" s="39"/>
      <c r="C214" s="39" t="s">
        <v>295</v>
      </c>
      <c r="D214" s="30" t="s">
        <v>296</v>
      </c>
      <c r="E214" s="31">
        <f aca="true" t="shared" si="82" ref="E214:M214">SUM(E215:E235)</f>
        <v>6349399000</v>
      </c>
      <c r="F214" s="31">
        <f t="shared" si="82"/>
        <v>-589358900</v>
      </c>
      <c r="G214" s="31">
        <f t="shared" si="82"/>
        <v>5760040100</v>
      </c>
      <c r="H214" s="31">
        <f t="shared" si="82"/>
        <v>5712890100</v>
      </c>
      <c r="I214" s="31">
        <f t="shared" si="82"/>
        <v>0</v>
      </c>
      <c r="J214" s="31">
        <f t="shared" si="82"/>
        <v>5712890100</v>
      </c>
      <c r="K214" s="31">
        <f t="shared" si="82"/>
        <v>5905119500</v>
      </c>
      <c r="L214" s="31">
        <f t="shared" si="82"/>
        <v>0</v>
      </c>
      <c r="M214" s="31">
        <f t="shared" si="82"/>
        <v>5905119500</v>
      </c>
    </row>
    <row r="215" spans="1:14" ht="112.5">
      <c r="A215" s="16">
        <v>842</v>
      </c>
      <c r="B215" s="16">
        <v>51180</v>
      </c>
      <c r="C215" s="42" t="s">
        <v>555</v>
      </c>
      <c r="D215" s="18" t="s">
        <v>536</v>
      </c>
      <c r="E215" s="32">
        <v>24319600</v>
      </c>
      <c r="F215" s="127">
        <f aca="true" t="shared" si="83" ref="F215:F234">G215-E215</f>
        <v>3330200</v>
      </c>
      <c r="G215" s="32">
        <v>27649800</v>
      </c>
      <c r="H215" s="23">
        <v>24577700</v>
      </c>
      <c r="I215" s="23">
        <f aca="true" t="shared" si="84" ref="I215:I231">J215-H215</f>
        <v>0</v>
      </c>
      <c r="J215" s="23">
        <v>24577700</v>
      </c>
      <c r="K215" s="23">
        <v>25461200</v>
      </c>
      <c r="L215" s="23">
        <f aca="true" t="shared" si="85" ref="L215:L234">M215-K215</f>
        <v>0</v>
      </c>
      <c r="M215" s="23">
        <v>25461200</v>
      </c>
      <c r="N215" s="1" t="s">
        <v>548</v>
      </c>
    </row>
    <row r="216" spans="1:13" ht="131.25">
      <c r="A216" s="16">
        <v>842</v>
      </c>
      <c r="B216" s="16">
        <v>51200</v>
      </c>
      <c r="C216" s="16" t="s">
        <v>289</v>
      </c>
      <c r="D216" s="18" t="s">
        <v>351</v>
      </c>
      <c r="E216" s="23">
        <v>3095800</v>
      </c>
      <c r="F216" s="32">
        <f t="shared" si="83"/>
        <v>0</v>
      </c>
      <c r="G216" s="23">
        <v>3095800</v>
      </c>
      <c r="H216" s="23">
        <v>207400</v>
      </c>
      <c r="I216" s="23">
        <f t="shared" si="84"/>
        <v>0</v>
      </c>
      <c r="J216" s="23">
        <v>207400</v>
      </c>
      <c r="K216" s="23">
        <v>334700</v>
      </c>
      <c r="L216" s="23">
        <f t="shared" si="85"/>
        <v>0</v>
      </c>
      <c r="M216" s="23">
        <v>334700</v>
      </c>
    </row>
    <row r="217" spans="1:13" ht="75">
      <c r="A217" s="16">
        <v>808</v>
      </c>
      <c r="B217" s="16">
        <v>51280</v>
      </c>
      <c r="C217" s="42" t="s">
        <v>352</v>
      </c>
      <c r="D217" s="18" t="s">
        <v>382</v>
      </c>
      <c r="E217" s="23">
        <v>7828800</v>
      </c>
      <c r="F217" s="32">
        <f t="shared" si="83"/>
        <v>0</v>
      </c>
      <c r="G217" s="23">
        <v>7828800</v>
      </c>
      <c r="H217" s="23">
        <v>7828800</v>
      </c>
      <c r="I217" s="19">
        <f t="shared" si="84"/>
        <v>0</v>
      </c>
      <c r="J217" s="23">
        <v>7828800</v>
      </c>
      <c r="K217" s="23">
        <v>7828800</v>
      </c>
      <c r="L217" s="19">
        <f t="shared" si="85"/>
        <v>0</v>
      </c>
      <c r="M217" s="23">
        <v>7828800</v>
      </c>
    </row>
    <row r="218" spans="1:13" ht="75">
      <c r="A218" s="42">
        <v>836</v>
      </c>
      <c r="B218" s="16">
        <v>51290</v>
      </c>
      <c r="C218" s="42" t="s">
        <v>353</v>
      </c>
      <c r="D218" s="18" t="s">
        <v>354</v>
      </c>
      <c r="E218" s="32">
        <v>311241100</v>
      </c>
      <c r="F218" s="32">
        <f t="shared" si="83"/>
        <v>0</v>
      </c>
      <c r="G218" s="32">
        <v>311241100</v>
      </c>
      <c r="H218" s="23">
        <v>323035600</v>
      </c>
      <c r="I218" s="19">
        <f t="shared" si="84"/>
        <v>0</v>
      </c>
      <c r="J218" s="23">
        <v>323035600</v>
      </c>
      <c r="K218" s="23">
        <v>320547800</v>
      </c>
      <c r="L218" s="19">
        <f t="shared" si="85"/>
        <v>0</v>
      </c>
      <c r="M218" s="23">
        <v>320547800</v>
      </c>
    </row>
    <row r="219" spans="1:13" ht="112.5">
      <c r="A219" s="16">
        <v>821</v>
      </c>
      <c r="B219" s="16">
        <v>51300</v>
      </c>
      <c r="C219" s="42" t="s">
        <v>355</v>
      </c>
      <c r="D219" s="18" t="s">
        <v>356</v>
      </c>
      <c r="E219" s="19">
        <v>323015300</v>
      </c>
      <c r="F219" s="32">
        <f t="shared" si="83"/>
        <v>0</v>
      </c>
      <c r="G219" s="19">
        <v>323015300</v>
      </c>
      <c r="H219" s="19"/>
      <c r="I219" s="19">
        <f t="shared" si="84"/>
        <v>0</v>
      </c>
      <c r="J219" s="19"/>
      <c r="K219" s="19"/>
      <c r="L219" s="19">
        <f t="shared" si="85"/>
        <v>0</v>
      </c>
      <c r="M219" s="19"/>
    </row>
    <row r="220" spans="1:13" ht="206.25">
      <c r="A220" s="16">
        <v>819</v>
      </c>
      <c r="B220" s="16">
        <v>51340</v>
      </c>
      <c r="C220" s="42" t="s">
        <v>357</v>
      </c>
      <c r="D220" s="55" t="s">
        <v>358</v>
      </c>
      <c r="E220" s="23">
        <v>59515300</v>
      </c>
      <c r="F220" s="32">
        <f t="shared" si="83"/>
        <v>0</v>
      </c>
      <c r="G220" s="23">
        <v>59515300</v>
      </c>
      <c r="H220" s="23"/>
      <c r="I220" s="23">
        <f t="shared" si="84"/>
        <v>0</v>
      </c>
      <c r="J220" s="23"/>
      <c r="K220" s="23"/>
      <c r="L220" s="23">
        <f t="shared" si="85"/>
        <v>0</v>
      </c>
      <c r="M220" s="23"/>
    </row>
    <row r="221" spans="1:14" ht="150">
      <c r="A221" s="16">
        <v>819</v>
      </c>
      <c r="B221" s="16">
        <v>51350</v>
      </c>
      <c r="C221" s="42" t="s">
        <v>360</v>
      </c>
      <c r="D221" s="18" t="s">
        <v>539</v>
      </c>
      <c r="E221" s="32">
        <v>5180100</v>
      </c>
      <c r="F221" s="127">
        <f t="shared" si="83"/>
        <v>493300</v>
      </c>
      <c r="G221" s="32">
        <v>5673400</v>
      </c>
      <c r="H221" s="32">
        <v>8513300</v>
      </c>
      <c r="I221" s="33">
        <f t="shared" si="84"/>
        <v>0</v>
      </c>
      <c r="J221" s="32">
        <v>8513300</v>
      </c>
      <c r="K221" s="32">
        <v>8553600</v>
      </c>
      <c r="L221" s="33">
        <f t="shared" si="85"/>
        <v>0</v>
      </c>
      <c r="M221" s="32">
        <v>8553600</v>
      </c>
      <c r="N221" s="1" t="s">
        <v>548</v>
      </c>
    </row>
    <row r="222" spans="1:14" ht="158.25" customHeight="1">
      <c r="A222" s="16">
        <v>821</v>
      </c>
      <c r="B222" s="16">
        <v>51370</v>
      </c>
      <c r="C222" s="42" t="s">
        <v>359</v>
      </c>
      <c r="D222" s="18" t="s">
        <v>538</v>
      </c>
      <c r="E222" s="32">
        <v>3232168800</v>
      </c>
      <c r="F222" s="127">
        <f t="shared" si="83"/>
        <v>-632814400</v>
      </c>
      <c r="G222" s="32">
        <v>2599354400</v>
      </c>
      <c r="H222" s="23">
        <v>3301361800</v>
      </c>
      <c r="I222" s="19">
        <f>J222-H222</f>
        <v>0</v>
      </c>
      <c r="J222" s="23">
        <v>3301361800</v>
      </c>
      <c r="K222" s="23">
        <v>3489416300</v>
      </c>
      <c r="L222" s="23">
        <f t="shared" si="85"/>
        <v>0</v>
      </c>
      <c r="M222" s="23">
        <v>3489416300</v>
      </c>
      <c r="N222" s="1" t="s">
        <v>548</v>
      </c>
    </row>
    <row r="223" spans="1:14" ht="168.75">
      <c r="A223" s="16">
        <v>819</v>
      </c>
      <c r="B223" s="16">
        <v>51760</v>
      </c>
      <c r="C223" s="42" t="s">
        <v>422</v>
      </c>
      <c r="D223" s="55" t="s">
        <v>540</v>
      </c>
      <c r="E223" s="32">
        <v>2768700</v>
      </c>
      <c r="F223" s="127">
        <f t="shared" si="83"/>
        <v>1314300</v>
      </c>
      <c r="G223" s="32">
        <v>4083000</v>
      </c>
      <c r="H223" s="32">
        <v>4557700</v>
      </c>
      <c r="I223" s="33">
        <f>J223-H223</f>
        <v>0</v>
      </c>
      <c r="J223" s="32">
        <v>4557700</v>
      </c>
      <c r="K223" s="32">
        <v>4553600</v>
      </c>
      <c r="L223" s="33">
        <f t="shared" si="85"/>
        <v>0</v>
      </c>
      <c r="M223" s="32">
        <v>4553600</v>
      </c>
      <c r="N223" s="1" t="s">
        <v>548</v>
      </c>
    </row>
    <row r="224" spans="1:14" ht="150.75" customHeight="1">
      <c r="A224" s="16">
        <v>821</v>
      </c>
      <c r="B224" s="16">
        <v>51940</v>
      </c>
      <c r="C224" s="42" t="s">
        <v>424</v>
      </c>
      <c r="D224" s="66" t="s">
        <v>556</v>
      </c>
      <c r="E224" s="32">
        <v>41175200</v>
      </c>
      <c r="F224" s="127">
        <f t="shared" si="83"/>
        <v>4545900</v>
      </c>
      <c r="G224" s="33">
        <f>41175200+4545900</f>
        <v>45721100</v>
      </c>
      <c r="H224" s="23"/>
      <c r="I224" s="23">
        <f t="shared" si="84"/>
        <v>0</v>
      </c>
      <c r="J224" s="23"/>
      <c r="K224" s="23"/>
      <c r="L224" s="23">
        <f t="shared" si="85"/>
        <v>0</v>
      </c>
      <c r="M224" s="23"/>
      <c r="N224" s="1" t="s">
        <v>548</v>
      </c>
    </row>
    <row r="225" spans="1:14" ht="159.75" customHeight="1">
      <c r="A225" s="16">
        <v>821</v>
      </c>
      <c r="B225" s="16">
        <v>52200</v>
      </c>
      <c r="C225" s="42" t="s">
        <v>361</v>
      </c>
      <c r="D225" s="18" t="s">
        <v>553</v>
      </c>
      <c r="E225" s="32">
        <v>80754700</v>
      </c>
      <c r="F225" s="127">
        <f t="shared" si="83"/>
        <v>628600</v>
      </c>
      <c r="G225" s="32">
        <v>81383300</v>
      </c>
      <c r="H225" s="23">
        <v>83984600</v>
      </c>
      <c r="I225" s="23">
        <f t="shared" si="84"/>
        <v>0</v>
      </c>
      <c r="J225" s="23">
        <v>83984600</v>
      </c>
      <c r="K225" s="23">
        <v>87347700</v>
      </c>
      <c r="L225" s="23">
        <f t="shared" si="85"/>
        <v>0</v>
      </c>
      <c r="M225" s="23">
        <v>87347700</v>
      </c>
      <c r="N225" s="1" t="s">
        <v>548</v>
      </c>
    </row>
    <row r="226" spans="1:13" ht="131.25">
      <c r="A226" s="16">
        <v>821</v>
      </c>
      <c r="B226" s="16">
        <v>52400</v>
      </c>
      <c r="C226" s="42" t="s">
        <v>362</v>
      </c>
      <c r="D226" s="18" t="s">
        <v>363</v>
      </c>
      <c r="E226" s="32">
        <v>102500</v>
      </c>
      <c r="F226" s="32">
        <f t="shared" si="83"/>
        <v>0</v>
      </c>
      <c r="G226" s="32">
        <v>102500</v>
      </c>
      <c r="H226" s="23">
        <v>105100</v>
      </c>
      <c r="I226" s="23">
        <f t="shared" si="84"/>
        <v>0</v>
      </c>
      <c r="J226" s="23">
        <v>105100</v>
      </c>
      <c r="K226" s="23">
        <v>107500</v>
      </c>
      <c r="L226" s="23">
        <f t="shared" si="85"/>
        <v>0</v>
      </c>
      <c r="M226" s="23">
        <v>107500</v>
      </c>
    </row>
    <row r="227" spans="1:13" ht="93.75">
      <c r="A227" s="16">
        <v>821</v>
      </c>
      <c r="B227" s="16">
        <v>52500</v>
      </c>
      <c r="C227" s="42" t="s">
        <v>364</v>
      </c>
      <c r="D227" s="18" t="s">
        <v>365</v>
      </c>
      <c r="E227" s="32">
        <v>917483600</v>
      </c>
      <c r="F227" s="32">
        <f t="shared" si="83"/>
        <v>0</v>
      </c>
      <c r="G227" s="32">
        <v>917483600</v>
      </c>
      <c r="H227" s="23">
        <v>936004500</v>
      </c>
      <c r="I227" s="23">
        <f t="shared" si="84"/>
        <v>0</v>
      </c>
      <c r="J227" s="23">
        <v>936004500</v>
      </c>
      <c r="K227" s="23">
        <v>935951400</v>
      </c>
      <c r="L227" s="23">
        <f t="shared" si="85"/>
        <v>0</v>
      </c>
      <c r="M227" s="23">
        <v>935951400</v>
      </c>
    </row>
    <row r="228" spans="1:13" ht="112.5">
      <c r="A228" s="16">
        <v>821</v>
      </c>
      <c r="B228" s="16">
        <v>52600</v>
      </c>
      <c r="C228" s="42" t="s">
        <v>366</v>
      </c>
      <c r="D228" s="18" t="s">
        <v>367</v>
      </c>
      <c r="E228" s="23">
        <v>10368900</v>
      </c>
      <c r="F228" s="32">
        <f t="shared" si="83"/>
        <v>0</v>
      </c>
      <c r="G228" s="23">
        <v>10368900</v>
      </c>
      <c r="H228" s="23">
        <v>10647500</v>
      </c>
      <c r="I228" s="23">
        <f t="shared" si="84"/>
        <v>0</v>
      </c>
      <c r="J228" s="23">
        <v>10647500</v>
      </c>
      <c r="K228" s="23">
        <v>10610800</v>
      </c>
      <c r="L228" s="23">
        <f t="shared" si="85"/>
        <v>0</v>
      </c>
      <c r="M228" s="23">
        <v>10610800</v>
      </c>
    </row>
    <row r="229" spans="1:13" ht="150">
      <c r="A229" s="16">
        <v>821</v>
      </c>
      <c r="B229" s="16">
        <v>52700</v>
      </c>
      <c r="C229" s="42" t="s">
        <v>369</v>
      </c>
      <c r="D229" s="18" t="s">
        <v>368</v>
      </c>
      <c r="E229" s="32">
        <v>10356900</v>
      </c>
      <c r="F229" s="32">
        <f t="shared" si="83"/>
        <v>0</v>
      </c>
      <c r="G229" s="32">
        <v>10356900</v>
      </c>
      <c r="H229" s="23">
        <v>10909100</v>
      </c>
      <c r="I229" s="23">
        <f t="shared" si="84"/>
        <v>0</v>
      </c>
      <c r="J229" s="23">
        <v>10909100</v>
      </c>
      <c r="K229" s="23">
        <v>11345500</v>
      </c>
      <c r="L229" s="23">
        <f t="shared" si="85"/>
        <v>0</v>
      </c>
      <c r="M229" s="23">
        <v>11345500</v>
      </c>
    </row>
    <row r="230" spans="1:13" ht="131.25">
      <c r="A230" s="16">
        <v>821</v>
      </c>
      <c r="B230" s="16">
        <v>52800</v>
      </c>
      <c r="C230" s="42" t="s">
        <v>370</v>
      </c>
      <c r="D230" s="18" t="s">
        <v>371</v>
      </c>
      <c r="E230" s="23">
        <v>215500</v>
      </c>
      <c r="F230" s="32">
        <f t="shared" si="83"/>
        <v>0</v>
      </c>
      <c r="G230" s="23">
        <v>215500</v>
      </c>
      <c r="H230" s="23">
        <v>215500</v>
      </c>
      <c r="I230" s="23">
        <f t="shared" si="84"/>
        <v>0</v>
      </c>
      <c r="J230" s="23">
        <v>215500</v>
      </c>
      <c r="K230" s="23">
        <v>215500</v>
      </c>
      <c r="L230" s="23">
        <f t="shared" si="85"/>
        <v>0</v>
      </c>
      <c r="M230" s="23">
        <v>215500</v>
      </c>
    </row>
    <row r="231" spans="1:13" ht="112.5">
      <c r="A231" s="16">
        <v>832</v>
      </c>
      <c r="B231" s="16">
        <v>52900</v>
      </c>
      <c r="C231" s="42" t="s">
        <v>372</v>
      </c>
      <c r="D231" s="18" t="s">
        <v>373</v>
      </c>
      <c r="E231" s="32">
        <v>349989400</v>
      </c>
      <c r="F231" s="32">
        <f t="shared" si="83"/>
        <v>0</v>
      </c>
      <c r="G231" s="32">
        <v>349989400</v>
      </c>
      <c r="H231" s="23">
        <v>374856300</v>
      </c>
      <c r="I231" s="23">
        <f t="shared" si="84"/>
        <v>0</v>
      </c>
      <c r="J231" s="23">
        <v>374856300</v>
      </c>
      <c r="K231" s="23">
        <v>381678900</v>
      </c>
      <c r="L231" s="23">
        <f t="shared" si="85"/>
        <v>0</v>
      </c>
      <c r="M231" s="23">
        <v>381678900</v>
      </c>
    </row>
    <row r="232" spans="1:13" ht="167.25" customHeight="1">
      <c r="A232" s="16">
        <v>821</v>
      </c>
      <c r="B232" s="16">
        <v>53800</v>
      </c>
      <c r="C232" s="42" t="s">
        <v>374</v>
      </c>
      <c r="D232" s="18" t="s">
        <v>375</v>
      </c>
      <c r="E232" s="32">
        <v>496366400</v>
      </c>
      <c r="F232" s="32">
        <f t="shared" si="83"/>
        <v>0</v>
      </c>
      <c r="G232" s="32">
        <v>496366400</v>
      </c>
      <c r="H232" s="23">
        <v>515899400</v>
      </c>
      <c r="I232" s="23">
        <f>J232-H232</f>
        <v>0</v>
      </c>
      <c r="J232" s="23">
        <v>515899400</v>
      </c>
      <c r="K232" s="23">
        <v>536535100</v>
      </c>
      <c r="L232" s="23">
        <f t="shared" si="85"/>
        <v>0</v>
      </c>
      <c r="M232" s="23">
        <v>536535100</v>
      </c>
    </row>
    <row r="233" spans="1:14" ht="188.25" customHeight="1">
      <c r="A233" s="42">
        <v>814</v>
      </c>
      <c r="B233" s="16">
        <v>54600</v>
      </c>
      <c r="C233" s="16" t="s">
        <v>425</v>
      </c>
      <c r="D233" s="18" t="s">
        <v>426</v>
      </c>
      <c r="E233" s="33">
        <v>218079100</v>
      </c>
      <c r="F233" s="127">
        <f t="shared" si="83"/>
        <v>23061700</v>
      </c>
      <c r="G233" s="33">
        <v>241140800</v>
      </c>
      <c r="H233" s="19"/>
      <c r="I233" s="19">
        <f>J233-H233</f>
        <v>0</v>
      </c>
      <c r="J233" s="19"/>
      <c r="K233" s="19"/>
      <c r="L233" s="19">
        <f t="shared" si="85"/>
        <v>0</v>
      </c>
      <c r="M233" s="19"/>
      <c r="N233" s="1" t="s">
        <v>548</v>
      </c>
    </row>
    <row r="234" spans="1:13" ht="112.5">
      <c r="A234" s="42">
        <v>821</v>
      </c>
      <c r="B234" s="25">
        <v>55730</v>
      </c>
      <c r="C234" s="16" t="s">
        <v>423</v>
      </c>
      <c r="D234" s="18" t="s">
        <v>431</v>
      </c>
      <c r="E234" s="33">
        <v>125998600</v>
      </c>
      <c r="F234" s="32">
        <f t="shared" si="83"/>
        <v>0</v>
      </c>
      <c r="G234" s="33">
        <v>125998600</v>
      </c>
      <c r="H234" s="19"/>
      <c r="I234" s="19">
        <f>J234-H234</f>
        <v>0</v>
      </c>
      <c r="J234" s="19"/>
      <c r="K234" s="19"/>
      <c r="L234" s="19">
        <f t="shared" si="85"/>
        <v>0</v>
      </c>
      <c r="M234" s="19"/>
    </row>
    <row r="235" spans="1:14" ht="73.5" customHeight="1">
      <c r="A235" s="42">
        <v>818</v>
      </c>
      <c r="B235" s="16" t="s">
        <v>329</v>
      </c>
      <c r="C235" s="42" t="s">
        <v>290</v>
      </c>
      <c r="D235" s="18" t="s">
        <v>537</v>
      </c>
      <c r="E235" s="23">
        <f>SUM(E236:E243)</f>
        <v>129374700</v>
      </c>
      <c r="F235" s="127">
        <f aca="true" t="shared" si="86" ref="F235:M235">SUM(F236:F243)</f>
        <v>10081500</v>
      </c>
      <c r="G235" s="19">
        <f t="shared" si="86"/>
        <v>139456200</v>
      </c>
      <c r="H235" s="23">
        <f t="shared" si="86"/>
        <v>110185800</v>
      </c>
      <c r="I235" s="23">
        <f t="shared" si="86"/>
        <v>0</v>
      </c>
      <c r="J235" s="23">
        <f t="shared" si="86"/>
        <v>110185800</v>
      </c>
      <c r="K235" s="23">
        <f t="shared" si="86"/>
        <v>84631100</v>
      </c>
      <c r="L235" s="23">
        <f t="shared" si="86"/>
        <v>0</v>
      </c>
      <c r="M235" s="23">
        <f t="shared" si="86"/>
        <v>84631100</v>
      </c>
      <c r="N235" s="1" t="s">
        <v>548</v>
      </c>
    </row>
    <row r="236" spans="1:13" s="47" customFormat="1" ht="104.25" customHeight="1">
      <c r="A236" s="125">
        <v>808</v>
      </c>
      <c r="B236" s="44" t="s">
        <v>299</v>
      </c>
      <c r="C236" s="44" t="s">
        <v>290</v>
      </c>
      <c r="D236" s="45" t="s">
        <v>300</v>
      </c>
      <c r="E236" s="46">
        <v>29300</v>
      </c>
      <c r="F236" s="46">
        <f aca="true" t="shared" si="87" ref="F236:F243">G236-E236</f>
        <v>0</v>
      </c>
      <c r="G236" s="46">
        <v>29300</v>
      </c>
      <c r="H236" s="46">
        <v>29900</v>
      </c>
      <c r="I236" s="46">
        <f aca="true" t="shared" si="88" ref="I236:I243">J236-H236</f>
        <v>0</v>
      </c>
      <c r="J236" s="46">
        <v>29900</v>
      </c>
      <c r="K236" s="46">
        <v>29900</v>
      </c>
      <c r="L236" s="46">
        <f aca="true" t="shared" si="89" ref="L236:L243">M236-K236</f>
        <v>0</v>
      </c>
      <c r="M236" s="46">
        <v>29900</v>
      </c>
    </row>
    <row r="237" spans="1:13" s="47" customFormat="1" ht="113.25" customHeight="1">
      <c r="A237" s="125">
        <v>808</v>
      </c>
      <c r="B237" s="44" t="s">
        <v>301</v>
      </c>
      <c r="C237" s="44" t="s">
        <v>290</v>
      </c>
      <c r="D237" s="45" t="s">
        <v>302</v>
      </c>
      <c r="E237" s="46">
        <v>51600</v>
      </c>
      <c r="F237" s="46">
        <f t="shared" si="87"/>
        <v>0</v>
      </c>
      <c r="G237" s="46">
        <v>51600</v>
      </c>
      <c r="H237" s="46">
        <v>52600</v>
      </c>
      <c r="I237" s="46">
        <f t="shared" si="88"/>
        <v>0</v>
      </c>
      <c r="J237" s="46">
        <v>52600</v>
      </c>
      <c r="K237" s="46">
        <v>52600</v>
      </c>
      <c r="L237" s="46">
        <f t="shared" si="89"/>
        <v>0</v>
      </c>
      <c r="M237" s="46">
        <v>52600</v>
      </c>
    </row>
    <row r="238" spans="1:13" ht="113.25" customHeight="1">
      <c r="A238" s="125">
        <v>808</v>
      </c>
      <c r="B238" s="44">
        <v>59700</v>
      </c>
      <c r="C238" s="44" t="s">
        <v>290</v>
      </c>
      <c r="D238" s="45" t="s">
        <v>303</v>
      </c>
      <c r="E238" s="48">
        <v>9934000</v>
      </c>
      <c r="F238" s="48">
        <f t="shared" si="87"/>
        <v>0</v>
      </c>
      <c r="G238" s="48">
        <v>9934000</v>
      </c>
      <c r="H238" s="48">
        <v>10203300</v>
      </c>
      <c r="I238" s="48">
        <f t="shared" si="88"/>
        <v>0</v>
      </c>
      <c r="J238" s="48">
        <v>10203300</v>
      </c>
      <c r="K238" s="46">
        <v>10448700</v>
      </c>
      <c r="L238" s="46">
        <f t="shared" si="89"/>
        <v>0</v>
      </c>
      <c r="M238" s="46">
        <v>10448700</v>
      </c>
    </row>
    <row r="239" spans="1:14" s="47" customFormat="1" ht="108" customHeight="1">
      <c r="A239" s="125">
        <v>809</v>
      </c>
      <c r="B239" s="44" t="s">
        <v>304</v>
      </c>
      <c r="C239" s="44" t="s">
        <v>290</v>
      </c>
      <c r="D239" s="45" t="s">
        <v>305</v>
      </c>
      <c r="E239" s="48">
        <v>105771400</v>
      </c>
      <c r="F239" s="48">
        <f t="shared" si="87"/>
        <v>10081500</v>
      </c>
      <c r="G239" s="48">
        <f>83623400+22148000+10081500</f>
        <v>115852900</v>
      </c>
      <c r="H239" s="49">
        <v>85991100</v>
      </c>
      <c r="I239" s="49">
        <f t="shared" si="88"/>
        <v>0</v>
      </c>
      <c r="J239" s="49">
        <v>85991100</v>
      </c>
      <c r="K239" s="46">
        <v>59919600</v>
      </c>
      <c r="L239" s="46">
        <f t="shared" si="89"/>
        <v>0</v>
      </c>
      <c r="M239" s="46">
        <v>59919600</v>
      </c>
      <c r="N239" s="47" t="s">
        <v>548</v>
      </c>
    </row>
    <row r="240" spans="1:13" s="47" customFormat="1" ht="206.25" customHeight="1">
      <c r="A240" s="125">
        <v>821</v>
      </c>
      <c r="B240" s="44" t="s">
        <v>306</v>
      </c>
      <c r="C240" s="44" t="s">
        <v>290</v>
      </c>
      <c r="D240" s="45" t="s">
        <v>307</v>
      </c>
      <c r="E240" s="48">
        <v>116000</v>
      </c>
      <c r="F240" s="48">
        <f t="shared" si="87"/>
        <v>0</v>
      </c>
      <c r="G240" s="48">
        <v>116000</v>
      </c>
      <c r="H240" s="49">
        <v>116000</v>
      </c>
      <c r="I240" s="49">
        <f t="shared" si="88"/>
        <v>0</v>
      </c>
      <c r="J240" s="49">
        <v>116000</v>
      </c>
      <c r="K240" s="46">
        <v>116000</v>
      </c>
      <c r="L240" s="46">
        <f t="shared" si="89"/>
        <v>0</v>
      </c>
      <c r="M240" s="46">
        <v>116000</v>
      </c>
    </row>
    <row r="241" spans="1:13" ht="114.75" customHeight="1">
      <c r="A241" s="125">
        <v>838</v>
      </c>
      <c r="B241" s="44" t="s">
        <v>308</v>
      </c>
      <c r="C241" s="44" t="s">
        <v>290</v>
      </c>
      <c r="D241" s="45" t="s">
        <v>309</v>
      </c>
      <c r="E241" s="48">
        <v>1276100</v>
      </c>
      <c r="F241" s="48">
        <f t="shared" si="87"/>
        <v>0</v>
      </c>
      <c r="G241" s="48">
        <v>1276100</v>
      </c>
      <c r="H241" s="48">
        <v>1312700</v>
      </c>
      <c r="I241" s="48">
        <f t="shared" si="88"/>
        <v>0</v>
      </c>
      <c r="J241" s="48">
        <v>1312700</v>
      </c>
      <c r="K241" s="46">
        <v>1350100</v>
      </c>
      <c r="L241" s="46">
        <f t="shared" si="89"/>
        <v>0</v>
      </c>
      <c r="M241" s="46">
        <v>1350100</v>
      </c>
    </row>
    <row r="242" spans="1:13" ht="101.25" customHeight="1">
      <c r="A242" s="125">
        <v>814</v>
      </c>
      <c r="B242" s="44" t="s">
        <v>310</v>
      </c>
      <c r="C242" s="44" t="s">
        <v>290</v>
      </c>
      <c r="D242" s="45" t="s">
        <v>311</v>
      </c>
      <c r="E242" s="48">
        <v>1087200</v>
      </c>
      <c r="F242" s="48">
        <f t="shared" si="87"/>
        <v>0</v>
      </c>
      <c r="G242" s="48">
        <v>1087200</v>
      </c>
      <c r="H242" s="48">
        <v>1133200</v>
      </c>
      <c r="I242" s="48">
        <f t="shared" si="88"/>
        <v>0</v>
      </c>
      <c r="J242" s="48">
        <v>1133200</v>
      </c>
      <c r="K242" s="46">
        <v>1152200</v>
      </c>
      <c r="L242" s="46">
        <f t="shared" si="89"/>
        <v>0</v>
      </c>
      <c r="M242" s="46">
        <v>1152200</v>
      </c>
    </row>
    <row r="243" spans="1:13" ht="81.75" customHeight="1">
      <c r="A243" s="125">
        <v>816</v>
      </c>
      <c r="B243" s="44" t="s">
        <v>312</v>
      </c>
      <c r="C243" s="44" t="s">
        <v>290</v>
      </c>
      <c r="D243" s="45" t="s">
        <v>313</v>
      </c>
      <c r="E243" s="48">
        <v>11109100</v>
      </c>
      <c r="F243" s="48">
        <f t="shared" si="87"/>
        <v>0</v>
      </c>
      <c r="G243" s="48">
        <v>11109100</v>
      </c>
      <c r="H243" s="48">
        <v>11347000</v>
      </c>
      <c r="I243" s="48">
        <f t="shared" si="88"/>
        <v>0</v>
      </c>
      <c r="J243" s="48">
        <v>11347000</v>
      </c>
      <c r="K243" s="46">
        <v>11562000</v>
      </c>
      <c r="L243" s="46">
        <f t="shared" si="89"/>
        <v>0</v>
      </c>
      <c r="M243" s="46">
        <v>11562000</v>
      </c>
    </row>
    <row r="244" spans="1:13" ht="40.5" customHeight="1">
      <c r="A244" s="76"/>
      <c r="B244" s="39"/>
      <c r="C244" s="39" t="s">
        <v>297</v>
      </c>
      <c r="D244" s="30" t="s">
        <v>291</v>
      </c>
      <c r="E244" s="34">
        <f>SUM(E245:E256)</f>
        <v>368545188</v>
      </c>
      <c r="F244" s="34">
        <f aca="true" t="shared" si="90" ref="F244:M244">SUM(F245:F256)</f>
        <v>105319600</v>
      </c>
      <c r="G244" s="34">
        <f t="shared" si="90"/>
        <v>473864788</v>
      </c>
      <c r="H244" s="34">
        <f t="shared" si="90"/>
        <v>310893984</v>
      </c>
      <c r="I244" s="34">
        <f t="shared" si="90"/>
        <v>0</v>
      </c>
      <c r="J244" s="34">
        <f t="shared" si="90"/>
        <v>310893984</v>
      </c>
      <c r="K244" s="34">
        <f t="shared" si="90"/>
        <v>94170284</v>
      </c>
      <c r="L244" s="34">
        <f t="shared" si="90"/>
        <v>0</v>
      </c>
      <c r="M244" s="34">
        <f t="shared" si="90"/>
        <v>94170284</v>
      </c>
    </row>
    <row r="245" spans="1:14" ht="112.5">
      <c r="A245" s="16">
        <v>814</v>
      </c>
      <c r="B245" s="16">
        <v>51360</v>
      </c>
      <c r="C245" s="42" t="s">
        <v>562</v>
      </c>
      <c r="D245" s="18" t="s">
        <v>563</v>
      </c>
      <c r="E245" s="19"/>
      <c r="F245" s="127">
        <f>G245-E245</f>
        <v>500000</v>
      </c>
      <c r="G245" s="19">
        <v>500000</v>
      </c>
      <c r="H245" s="19"/>
      <c r="I245" s="19">
        <f aca="true" t="shared" si="91" ref="I245:I256">J245-H245</f>
        <v>0</v>
      </c>
      <c r="J245" s="19"/>
      <c r="K245" s="19"/>
      <c r="L245" s="19">
        <f aca="true" t="shared" si="92" ref="L245:L256">M245-K245</f>
        <v>0</v>
      </c>
      <c r="M245" s="19"/>
      <c r="N245" s="1" t="s">
        <v>548</v>
      </c>
    </row>
    <row r="246" spans="1:13" ht="112.5">
      <c r="A246" s="16">
        <v>803</v>
      </c>
      <c r="B246" s="16">
        <v>51410</v>
      </c>
      <c r="C246" s="16" t="s">
        <v>292</v>
      </c>
      <c r="D246" s="18" t="s">
        <v>388</v>
      </c>
      <c r="E246" s="19">
        <v>8501904</v>
      </c>
      <c r="F246" s="33">
        <f aca="true" t="shared" si="93" ref="F246:F282">G246-E246</f>
        <v>0</v>
      </c>
      <c r="G246" s="19">
        <f>7783200+718704</f>
        <v>8501904</v>
      </c>
      <c r="H246" s="19">
        <v>7783200</v>
      </c>
      <c r="I246" s="19">
        <f t="shared" si="91"/>
        <v>0</v>
      </c>
      <c r="J246" s="19">
        <v>7783200</v>
      </c>
      <c r="K246" s="19">
        <v>7783200</v>
      </c>
      <c r="L246" s="19">
        <f t="shared" si="92"/>
        <v>0</v>
      </c>
      <c r="M246" s="19">
        <v>7783200</v>
      </c>
    </row>
    <row r="247" spans="1:13" ht="93.75">
      <c r="A247" s="16">
        <v>803</v>
      </c>
      <c r="B247" s="16">
        <v>51420</v>
      </c>
      <c r="C247" s="16" t="s">
        <v>293</v>
      </c>
      <c r="D247" s="18" t="s">
        <v>387</v>
      </c>
      <c r="E247" s="19">
        <v>4484184</v>
      </c>
      <c r="F247" s="33">
        <f t="shared" si="93"/>
        <v>0</v>
      </c>
      <c r="G247" s="19">
        <f>3093584+1390600</f>
        <v>4484184</v>
      </c>
      <c r="H247" s="19">
        <v>3093584</v>
      </c>
      <c r="I247" s="19">
        <f t="shared" si="91"/>
        <v>0</v>
      </c>
      <c r="J247" s="19">
        <v>3093584</v>
      </c>
      <c r="K247" s="19">
        <v>3093584</v>
      </c>
      <c r="L247" s="19">
        <f t="shared" si="92"/>
        <v>0</v>
      </c>
      <c r="M247" s="19">
        <v>3093584</v>
      </c>
    </row>
    <row r="248" spans="1:13" ht="243.75">
      <c r="A248" s="16">
        <v>816</v>
      </c>
      <c r="B248" s="16">
        <v>51590</v>
      </c>
      <c r="C248" s="42" t="s">
        <v>516</v>
      </c>
      <c r="D248" s="18" t="s">
        <v>561</v>
      </c>
      <c r="E248" s="32">
        <v>206742500</v>
      </c>
      <c r="F248" s="33">
        <f t="shared" si="93"/>
        <v>0</v>
      </c>
      <c r="G248" s="33">
        <v>206742500</v>
      </c>
      <c r="H248" s="32">
        <v>216723700</v>
      </c>
      <c r="I248" s="33"/>
      <c r="J248" s="32">
        <v>216723700</v>
      </c>
      <c r="K248" s="32"/>
      <c r="L248" s="33">
        <f t="shared" si="92"/>
        <v>0</v>
      </c>
      <c r="M248" s="32"/>
    </row>
    <row r="249" spans="1:13" ht="102" customHeight="1">
      <c r="A249" s="16">
        <v>814</v>
      </c>
      <c r="B249" s="16">
        <v>51610</v>
      </c>
      <c r="C249" s="42" t="s">
        <v>376</v>
      </c>
      <c r="D249" s="18" t="s">
        <v>377</v>
      </c>
      <c r="E249" s="32">
        <v>84191400</v>
      </c>
      <c r="F249" s="33">
        <f>G249-E249</f>
        <v>0</v>
      </c>
      <c r="G249" s="32">
        <f>84191400</f>
        <v>84191400</v>
      </c>
      <c r="H249" s="32">
        <v>83293500</v>
      </c>
      <c r="I249" s="19">
        <f>J249-H249</f>
        <v>0</v>
      </c>
      <c r="J249" s="32">
        <v>83293500</v>
      </c>
      <c r="K249" s="32">
        <v>83293500</v>
      </c>
      <c r="L249" s="33">
        <f>M249-K249</f>
        <v>0</v>
      </c>
      <c r="M249" s="32">
        <v>83293500</v>
      </c>
    </row>
    <row r="250" spans="1:14" ht="102" customHeight="1">
      <c r="A250" s="16">
        <v>814</v>
      </c>
      <c r="B250" s="16" t="s">
        <v>549</v>
      </c>
      <c r="C250" s="42" t="s">
        <v>376</v>
      </c>
      <c r="D250" s="18" t="s">
        <v>550</v>
      </c>
      <c r="E250" s="32">
        <v>0</v>
      </c>
      <c r="F250" s="127">
        <f t="shared" si="93"/>
        <v>25402900</v>
      </c>
      <c r="G250" s="32">
        <v>25402900</v>
      </c>
      <c r="H250" s="32"/>
      <c r="I250" s="19">
        <f t="shared" si="91"/>
        <v>0</v>
      </c>
      <c r="J250" s="32"/>
      <c r="K250" s="32"/>
      <c r="L250" s="33">
        <f t="shared" si="92"/>
        <v>0</v>
      </c>
      <c r="M250" s="32"/>
      <c r="N250" s="1" t="s">
        <v>548</v>
      </c>
    </row>
    <row r="251" spans="1:13" ht="131.25">
      <c r="A251" s="16">
        <v>814</v>
      </c>
      <c r="B251" s="16" t="s">
        <v>433</v>
      </c>
      <c r="C251" s="42" t="s">
        <v>434</v>
      </c>
      <c r="D251" s="18" t="s">
        <v>498</v>
      </c>
      <c r="E251" s="32">
        <v>7343300</v>
      </c>
      <c r="F251" s="33">
        <f>G251-E251</f>
        <v>0</v>
      </c>
      <c r="G251" s="33">
        <v>7343300</v>
      </c>
      <c r="H251" s="32"/>
      <c r="I251" s="19">
        <f t="shared" si="91"/>
        <v>0</v>
      </c>
      <c r="J251" s="32">
        <v>0</v>
      </c>
      <c r="K251" s="32"/>
      <c r="L251" s="33">
        <f t="shared" si="92"/>
        <v>0</v>
      </c>
      <c r="M251" s="32">
        <v>0</v>
      </c>
    </row>
    <row r="252" spans="1:13" ht="150">
      <c r="A252" s="16">
        <v>815</v>
      </c>
      <c r="B252" s="16" t="s">
        <v>437</v>
      </c>
      <c r="C252" s="42" t="s">
        <v>434</v>
      </c>
      <c r="D252" s="18" t="s">
        <v>496</v>
      </c>
      <c r="E252" s="32">
        <v>1892700</v>
      </c>
      <c r="F252" s="33">
        <f t="shared" si="93"/>
        <v>0</v>
      </c>
      <c r="G252" s="33">
        <v>1892700</v>
      </c>
      <c r="H252" s="32"/>
      <c r="I252" s="19">
        <f t="shared" si="91"/>
        <v>0</v>
      </c>
      <c r="J252" s="32"/>
      <c r="K252" s="32"/>
      <c r="L252" s="33">
        <f t="shared" si="92"/>
        <v>0</v>
      </c>
      <c r="M252" s="32"/>
    </row>
    <row r="253" spans="1:13" ht="131.25">
      <c r="A253" s="16">
        <v>815</v>
      </c>
      <c r="B253" s="16" t="s">
        <v>520</v>
      </c>
      <c r="C253" s="42" t="s">
        <v>434</v>
      </c>
      <c r="D253" s="18" t="s">
        <v>497</v>
      </c>
      <c r="E253" s="32">
        <v>7919200</v>
      </c>
      <c r="F253" s="33">
        <f>G253-E253</f>
        <v>0</v>
      </c>
      <c r="G253" s="33">
        <f>7273700+645500</f>
        <v>7919200</v>
      </c>
      <c r="H253" s="32"/>
      <c r="I253" s="19">
        <f t="shared" si="91"/>
        <v>0</v>
      </c>
      <c r="J253" s="32"/>
      <c r="K253" s="32"/>
      <c r="L253" s="33">
        <f t="shared" si="92"/>
        <v>0</v>
      </c>
      <c r="M253" s="32"/>
    </row>
    <row r="254" spans="1:13" ht="168.75">
      <c r="A254" s="16">
        <v>814</v>
      </c>
      <c r="B254" s="85" t="s">
        <v>493</v>
      </c>
      <c r="C254" s="86" t="s">
        <v>494</v>
      </c>
      <c r="D254" s="18" t="s">
        <v>495</v>
      </c>
      <c r="E254" s="32">
        <v>47470000</v>
      </c>
      <c r="F254" s="33">
        <f>G254-E254</f>
        <v>0</v>
      </c>
      <c r="G254" s="33">
        <v>47470000</v>
      </c>
      <c r="H254" s="32"/>
      <c r="I254" s="19">
        <f t="shared" si="91"/>
        <v>0</v>
      </c>
      <c r="J254" s="32"/>
      <c r="K254" s="32"/>
      <c r="L254" s="33">
        <f t="shared" si="92"/>
        <v>0</v>
      </c>
      <c r="M254" s="32"/>
    </row>
    <row r="255" spans="1:14" ht="168.75">
      <c r="A255" s="16">
        <v>814</v>
      </c>
      <c r="B255" s="85" t="s">
        <v>551</v>
      </c>
      <c r="C255" s="86" t="s">
        <v>494</v>
      </c>
      <c r="D255" s="18" t="s">
        <v>552</v>
      </c>
      <c r="E255" s="32">
        <v>0</v>
      </c>
      <c r="F255" s="127">
        <f>G255-E255</f>
        <v>58416700</v>
      </c>
      <c r="G255" s="33">
        <v>58416700</v>
      </c>
      <c r="H255" s="32"/>
      <c r="I255" s="19">
        <f>J255-H255</f>
        <v>0</v>
      </c>
      <c r="J255" s="32"/>
      <c r="K255" s="32"/>
      <c r="L255" s="33">
        <f>M255-K255</f>
        <v>0</v>
      </c>
      <c r="M255" s="32"/>
      <c r="N255" s="1" t="s">
        <v>548</v>
      </c>
    </row>
    <row r="256" spans="1:14" ht="187.5">
      <c r="A256" s="16">
        <v>814</v>
      </c>
      <c r="B256" s="85" t="s">
        <v>546</v>
      </c>
      <c r="C256" s="86" t="s">
        <v>494</v>
      </c>
      <c r="D256" s="18" t="s">
        <v>547</v>
      </c>
      <c r="E256" s="32">
        <v>0</v>
      </c>
      <c r="F256" s="127">
        <f>G256-E256</f>
        <v>21000000</v>
      </c>
      <c r="G256" s="33">
        <v>21000000</v>
      </c>
      <c r="H256" s="32"/>
      <c r="I256" s="19">
        <f t="shared" si="91"/>
        <v>0</v>
      </c>
      <c r="J256" s="32"/>
      <c r="K256" s="32"/>
      <c r="L256" s="33">
        <f t="shared" si="92"/>
        <v>0</v>
      </c>
      <c r="M256" s="32"/>
      <c r="N256" s="1" t="s">
        <v>548</v>
      </c>
    </row>
    <row r="257" spans="1:13" ht="46.5" customHeight="1">
      <c r="A257" s="71"/>
      <c r="B257" s="69"/>
      <c r="C257" s="39" t="s">
        <v>438</v>
      </c>
      <c r="D257" s="30" t="s">
        <v>439</v>
      </c>
      <c r="E257" s="70">
        <f>E258</f>
        <v>0</v>
      </c>
      <c r="F257" s="70">
        <f aca="true" t="shared" si="94" ref="F257:M257">F258</f>
        <v>0</v>
      </c>
      <c r="G257" s="70">
        <f t="shared" si="94"/>
        <v>0</v>
      </c>
      <c r="H257" s="70">
        <f t="shared" si="94"/>
        <v>0</v>
      </c>
      <c r="I257" s="70">
        <f t="shared" si="94"/>
        <v>0</v>
      </c>
      <c r="J257" s="70">
        <f t="shared" si="94"/>
        <v>0</v>
      </c>
      <c r="K257" s="70">
        <f t="shared" si="94"/>
        <v>0</v>
      </c>
      <c r="L257" s="70">
        <f t="shared" si="94"/>
        <v>0</v>
      </c>
      <c r="M257" s="70">
        <f t="shared" si="94"/>
        <v>0</v>
      </c>
    </row>
    <row r="258" spans="1:13" ht="168.75">
      <c r="A258" s="16">
        <v>812</v>
      </c>
      <c r="B258" s="16"/>
      <c r="C258" s="16" t="s">
        <v>440</v>
      </c>
      <c r="D258" s="18" t="s">
        <v>441</v>
      </c>
      <c r="E258" s="32"/>
      <c r="F258" s="33">
        <f t="shared" si="93"/>
        <v>0</v>
      </c>
      <c r="G258" s="32"/>
      <c r="H258" s="32"/>
      <c r="I258" s="33"/>
      <c r="J258" s="32"/>
      <c r="K258" s="32"/>
      <c r="L258" s="33"/>
      <c r="M258" s="32"/>
    </row>
    <row r="259" spans="1:13" ht="25.5" customHeight="1">
      <c r="A259" s="76"/>
      <c r="B259" s="72"/>
      <c r="C259" s="39" t="s">
        <v>442</v>
      </c>
      <c r="D259" s="30" t="s">
        <v>443</v>
      </c>
      <c r="E259" s="70">
        <f>E260</f>
        <v>0</v>
      </c>
      <c r="F259" s="70">
        <f aca="true" t="shared" si="95" ref="F259:M259">F260</f>
        <v>0</v>
      </c>
      <c r="G259" s="70">
        <f t="shared" si="95"/>
        <v>0</v>
      </c>
      <c r="H259" s="70">
        <f t="shared" si="95"/>
        <v>0</v>
      </c>
      <c r="I259" s="70">
        <f t="shared" si="95"/>
        <v>0</v>
      </c>
      <c r="J259" s="70">
        <f t="shared" si="95"/>
        <v>0</v>
      </c>
      <c r="K259" s="70">
        <f t="shared" si="95"/>
        <v>0</v>
      </c>
      <c r="L259" s="70">
        <f t="shared" si="95"/>
        <v>0</v>
      </c>
      <c r="M259" s="70">
        <f t="shared" si="95"/>
        <v>0</v>
      </c>
    </row>
    <row r="260" spans="1:13" ht="45.75" customHeight="1">
      <c r="A260" s="16"/>
      <c r="B260" s="17"/>
      <c r="C260" s="17"/>
      <c r="D260" s="18" t="s">
        <v>444</v>
      </c>
      <c r="E260" s="32"/>
      <c r="F260" s="33">
        <f t="shared" si="93"/>
        <v>0</v>
      </c>
      <c r="G260" s="32"/>
      <c r="H260" s="32"/>
      <c r="I260" s="33"/>
      <c r="J260" s="32"/>
      <c r="K260" s="32"/>
      <c r="L260" s="33"/>
      <c r="M260" s="32"/>
    </row>
    <row r="261" spans="1:13" ht="150">
      <c r="A261" s="126"/>
      <c r="B261" s="73"/>
      <c r="C261" s="39" t="s">
        <v>445</v>
      </c>
      <c r="D261" s="74" t="s">
        <v>446</v>
      </c>
      <c r="E261" s="70">
        <f aca="true" t="shared" si="96" ref="E261:M261">SUM(E262:E282)</f>
        <v>25433211.44999999</v>
      </c>
      <c r="F261" s="70">
        <f t="shared" si="96"/>
        <v>0</v>
      </c>
      <c r="G261" s="70">
        <f t="shared" si="96"/>
        <v>25433211.44999999</v>
      </c>
      <c r="H261" s="70">
        <f t="shared" si="96"/>
        <v>0</v>
      </c>
      <c r="I261" s="70">
        <f t="shared" si="96"/>
        <v>0</v>
      </c>
      <c r="J261" s="70">
        <f t="shared" si="96"/>
        <v>0</v>
      </c>
      <c r="K261" s="70">
        <f t="shared" si="96"/>
        <v>0</v>
      </c>
      <c r="L261" s="70">
        <f t="shared" si="96"/>
        <v>0</v>
      </c>
      <c r="M261" s="70">
        <f t="shared" si="96"/>
        <v>0</v>
      </c>
    </row>
    <row r="262" spans="1:14" ht="173.25">
      <c r="A262" s="16">
        <v>803</v>
      </c>
      <c r="B262" s="77"/>
      <c r="C262" s="16" t="s">
        <v>463</v>
      </c>
      <c r="D262" s="78" t="s">
        <v>518</v>
      </c>
      <c r="E262" s="33">
        <v>292359.43</v>
      </c>
      <c r="F262" s="33">
        <f t="shared" si="93"/>
        <v>0</v>
      </c>
      <c r="G262" s="33">
        <v>292359.43</v>
      </c>
      <c r="H262" s="33"/>
      <c r="I262" s="33"/>
      <c r="J262" s="33"/>
      <c r="K262" s="33"/>
      <c r="L262" s="33"/>
      <c r="M262" s="33"/>
      <c r="N262" s="79"/>
    </row>
    <row r="263" spans="1:14" ht="110.25">
      <c r="A263" s="16">
        <v>803</v>
      </c>
      <c r="B263" s="77"/>
      <c r="C263" s="16" t="s">
        <v>464</v>
      </c>
      <c r="D263" s="78" t="s">
        <v>449</v>
      </c>
      <c r="E263" s="33">
        <v>161668.96</v>
      </c>
      <c r="F263" s="33">
        <f t="shared" si="93"/>
        <v>0</v>
      </c>
      <c r="G263" s="33">
        <v>161668.96</v>
      </c>
      <c r="H263" s="33"/>
      <c r="I263" s="33"/>
      <c r="J263" s="33"/>
      <c r="K263" s="33"/>
      <c r="L263" s="33"/>
      <c r="M263" s="33"/>
      <c r="N263" s="79"/>
    </row>
    <row r="264" spans="1:14" ht="104.25" customHeight="1">
      <c r="A264" s="16">
        <v>811</v>
      </c>
      <c r="B264" s="77"/>
      <c r="C264" s="16" t="s">
        <v>463</v>
      </c>
      <c r="D264" s="78" t="s">
        <v>519</v>
      </c>
      <c r="E264" s="33">
        <v>2607</v>
      </c>
      <c r="F264" s="33">
        <f t="shared" si="93"/>
        <v>0</v>
      </c>
      <c r="G264" s="33">
        <v>2607</v>
      </c>
      <c r="H264" s="33"/>
      <c r="I264" s="33"/>
      <c r="J264" s="33"/>
      <c r="K264" s="33"/>
      <c r="L264" s="33"/>
      <c r="M264" s="33"/>
      <c r="N264" s="79"/>
    </row>
    <row r="265" spans="1:14" ht="204.75">
      <c r="A265" s="16">
        <v>812</v>
      </c>
      <c r="B265" s="77"/>
      <c r="C265" s="16" t="s">
        <v>465</v>
      </c>
      <c r="D265" s="78" t="s">
        <v>450</v>
      </c>
      <c r="E265" s="33">
        <v>2385870.67</v>
      </c>
      <c r="F265" s="33">
        <f t="shared" si="93"/>
        <v>0</v>
      </c>
      <c r="G265" s="33">
        <v>2385870.67</v>
      </c>
      <c r="H265" s="33"/>
      <c r="I265" s="33"/>
      <c r="J265" s="33"/>
      <c r="K265" s="33"/>
      <c r="L265" s="33"/>
      <c r="M265" s="33"/>
      <c r="N265" s="79"/>
    </row>
    <row r="266" spans="1:14" ht="173.25">
      <c r="A266" s="16">
        <v>812</v>
      </c>
      <c r="B266" s="77"/>
      <c r="C266" s="16" t="s">
        <v>465</v>
      </c>
      <c r="D266" s="78" t="s">
        <v>451</v>
      </c>
      <c r="E266" s="33">
        <v>1165310.89</v>
      </c>
      <c r="F266" s="33">
        <f t="shared" si="93"/>
        <v>0</v>
      </c>
      <c r="G266" s="33">
        <v>1165310.89</v>
      </c>
      <c r="H266" s="33"/>
      <c r="I266" s="33"/>
      <c r="J266" s="33"/>
      <c r="K266" s="33"/>
      <c r="L266" s="33"/>
      <c r="M266" s="33"/>
      <c r="N266" s="79"/>
    </row>
    <row r="267" spans="1:14" ht="157.5">
      <c r="A267" s="16">
        <v>812</v>
      </c>
      <c r="B267" s="77"/>
      <c r="C267" s="16" t="s">
        <v>466</v>
      </c>
      <c r="D267" s="78" t="s">
        <v>452</v>
      </c>
      <c r="E267" s="33">
        <v>78.36</v>
      </c>
      <c r="F267" s="33">
        <f t="shared" si="93"/>
        <v>0</v>
      </c>
      <c r="G267" s="33">
        <v>78.36</v>
      </c>
      <c r="H267" s="33"/>
      <c r="I267" s="33"/>
      <c r="J267" s="33"/>
      <c r="K267" s="33"/>
      <c r="L267" s="33"/>
      <c r="M267" s="33"/>
      <c r="N267" s="79"/>
    </row>
    <row r="268" spans="1:14" ht="110.25">
      <c r="A268" s="16">
        <v>812</v>
      </c>
      <c r="B268" s="77"/>
      <c r="C268" s="16" t="s">
        <v>500</v>
      </c>
      <c r="D268" s="78" t="s">
        <v>499</v>
      </c>
      <c r="E268" s="33">
        <v>19257676.7</v>
      </c>
      <c r="F268" s="33">
        <f t="shared" si="93"/>
        <v>0</v>
      </c>
      <c r="G268" s="33">
        <v>19257676.7</v>
      </c>
      <c r="H268" s="33"/>
      <c r="I268" s="33"/>
      <c r="J268" s="33"/>
      <c r="K268" s="33"/>
      <c r="L268" s="33"/>
      <c r="M268" s="33"/>
      <c r="N268" s="79"/>
    </row>
    <row r="269" spans="1:14" ht="141.75">
      <c r="A269" s="16">
        <v>814</v>
      </c>
      <c r="B269" s="77"/>
      <c r="C269" s="16" t="s">
        <v>463</v>
      </c>
      <c r="D269" s="78" t="s">
        <v>453</v>
      </c>
      <c r="E269" s="33">
        <v>2385</v>
      </c>
      <c r="F269" s="33">
        <f t="shared" si="93"/>
        <v>0</v>
      </c>
      <c r="G269" s="33">
        <v>2385</v>
      </c>
      <c r="H269" s="33"/>
      <c r="I269" s="33"/>
      <c r="J269" s="33"/>
      <c r="K269" s="33"/>
      <c r="L269" s="33"/>
      <c r="M269" s="33"/>
      <c r="N269" s="80"/>
    </row>
    <row r="270" spans="1:14" ht="174" customHeight="1">
      <c r="A270" s="16">
        <v>815</v>
      </c>
      <c r="B270" s="77"/>
      <c r="C270" s="16" t="s">
        <v>465</v>
      </c>
      <c r="D270" s="78" t="s">
        <v>501</v>
      </c>
      <c r="E270" s="33">
        <v>6078</v>
      </c>
      <c r="F270" s="33">
        <f t="shared" si="93"/>
        <v>0</v>
      </c>
      <c r="G270" s="33">
        <v>6078</v>
      </c>
      <c r="H270" s="33"/>
      <c r="I270" s="33"/>
      <c r="J270" s="33"/>
      <c r="K270" s="33"/>
      <c r="L270" s="33"/>
      <c r="M270" s="33"/>
      <c r="N270" s="79"/>
    </row>
    <row r="271" spans="1:14" ht="94.5">
      <c r="A271" s="16">
        <v>816</v>
      </c>
      <c r="B271" s="77"/>
      <c r="C271" s="16" t="s">
        <v>463</v>
      </c>
      <c r="D271" s="78" t="s">
        <v>454</v>
      </c>
      <c r="E271" s="33">
        <v>7000</v>
      </c>
      <c r="F271" s="33">
        <f t="shared" si="93"/>
        <v>0</v>
      </c>
      <c r="G271" s="33">
        <v>7000</v>
      </c>
      <c r="H271" s="33"/>
      <c r="I271" s="33"/>
      <c r="J271" s="33"/>
      <c r="K271" s="33"/>
      <c r="L271" s="33"/>
      <c r="M271" s="33"/>
      <c r="N271" s="80"/>
    </row>
    <row r="272" spans="1:14" ht="153.75" customHeight="1">
      <c r="A272" s="16">
        <v>816</v>
      </c>
      <c r="B272" s="77"/>
      <c r="C272" s="16" t="s">
        <v>465</v>
      </c>
      <c r="D272" s="78" t="s">
        <v>502</v>
      </c>
      <c r="E272" s="33">
        <v>247.5</v>
      </c>
      <c r="F272" s="33">
        <f t="shared" si="93"/>
        <v>0</v>
      </c>
      <c r="G272" s="33">
        <v>247.5</v>
      </c>
      <c r="H272" s="33"/>
      <c r="I272" s="33"/>
      <c r="J272" s="33"/>
      <c r="K272" s="33"/>
      <c r="L272" s="33"/>
      <c r="M272" s="33"/>
      <c r="N272" s="80"/>
    </row>
    <row r="273" spans="1:14" ht="197.25" customHeight="1">
      <c r="A273" s="16">
        <v>817</v>
      </c>
      <c r="B273" s="77"/>
      <c r="C273" s="16" t="s">
        <v>466</v>
      </c>
      <c r="D273" s="78" t="s">
        <v>455</v>
      </c>
      <c r="E273" s="33">
        <v>300000</v>
      </c>
      <c r="F273" s="33">
        <f t="shared" si="93"/>
        <v>0</v>
      </c>
      <c r="G273" s="33">
        <v>300000</v>
      </c>
      <c r="H273" s="33"/>
      <c r="I273" s="33"/>
      <c r="J273" s="33"/>
      <c r="K273" s="33"/>
      <c r="L273" s="33"/>
      <c r="M273" s="33"/>
      <c r="N273" s="81"/>
    </row>
    <row r="274" spans="1:14" ht="150" customHeight="1">
      <c r="A274" s="16">
        <v>819</v>
      </c>
      <c r="B274" s="75"/>
      <c r="C274" s="82" t="s">
        <v>465</v>
      </c>
      <c r="D274" s="78" t="s">
        <v>517</v>
      </c>
      <c r="E274" s="33">
        <v>31286</v>
      </c>
      <c r="F274" s="33">
        <f t="shared" si="93"/>
        <v>0</v>
      </c>
      <c r="G274" s="33">
        <v>31286</v>
      </c>
      <c r="H274" s="33"/>
      <c r="I274" s="33"/>
      <c r="J274" s="33"/>
      <c r="K274" s="33"/>
      <c r="L274" s="33"/>
      <c r="M274" s="33"/>
      <c r="N274" s="81"/>
    </row>
    <row r="275" spans="1:14" ht="206.25" customHeight="1">
      <c r="A275" s="16">
        <v>821</v>
      </c>
      <c r="B275" s="77"/>
      <c r="C275" s="16" t="s">
        <v>465</v>
      </c>
      <c r="D275" s="78" t="s">
        <v>456</v>
      </c>
      <c r="E275" s="33">
        <v>16692.56</v>
      </c>
      <c r="F275" s="33">
        <f t="shared" si="93"/>
        <v>0</v>
      </c>
      <c r="G275" s="33">
        <v>16692.56</v>
      </c>
      <c r="H275" s="33"/>
      <c r="I275" s="33"/>
      <c r="J275" s="33"/>
      <c r="K275" s="33"/>
      <c r="L275" s="33"/>
      <c r="M275" s="33"/>
      <c r="N275" s="79"/>
    </row>
    <row r="276" spans="1:14" ht="141.75">
      <c r="A276" s="16">
        <v>821</v>
      </c>
      <c r="B276" s="77"/>
      <c r="C276" s="16" t="s">
        <v>465</v>
      </c>
      <c r="D276" s="78" t="s">
        <v>457</v>
      </c>
      <c r="E276" s="33">
        <v>303579.04</v>
      </c>
      <c r="F276" s="33">
        <f t="shared" si="93"/>
        <v>0</v>
      </c>
      <c r="G276" s="33">
        <v>303579.04</v>
      </c>
      <c r="H276" s="33"/>
      <c r="I276" s="33"/>
      <c r="J276" s="33"/>
      <c r="K276" s="33"/>
      <c r="L276" s="33"/>
      <c r="M276" s="33"/>
      <c r="N276" s="79"/>
    </row>
    <row r="277" spans="1:14" ht="141.75">
      <c r="A277" s="16">
        <v>825</v>
      </c>
      <c r="B277" s="77"/>
      <c r="C277" s="16" t="s">
        <v>464</v>
      </c>
      <c r="D277" s="78" t="s">
        <v>458</v>
      </c>
      <c r="E277" s="33">
        <v>3174.84</v>
      </c>
      <c r="F277" s="33">
        <f t="shared" si="93"/>
        <v>0</v>
      </c>
      <c r="G277" s="33">
        <v>3174.84</v>
      </c>
      <c r="H277" s="33"/>
      <c r="I277" s="33"/>
      <c r="J277" s="33"/>
      <c r="K277" s="33"/>
      <c r="L277" s="33"/>
      <c r="M277" s="33"/>
      <c r="N277" s="79"/>
    </row>
    <row r="278" spans="1:14" ht="110.25">
      <c r="A278" s="16">
        <v>836</v>
      </c>
      <c r="B278" s="77"/>
      <c r="C278" s="16" t="s">
        <v>463</v>
      </c>
      <c r="D278" s="78" t="s">
        <v>459</v>
      </c>
      <c r="E278" s="33">
        <v>7872.4</v>
      </c>
      <c r="F278" s="33">
        <f t="shared" si="93"/>
        <v>0</v>
      </c>
      <c r="G278" s="33">
        <v>7872.4</v>
      </c>
      <c r="H278" s="33"/>
      <c r="I278" s="33"/>
      <c r="J278" s="33"/>
      <c r="K278" s="33"/>
      <c r="L278" s="33"/>
      <c r="M278" s="33"/>
      <c r="N278" s="79"/>
    </row>
    <row r="279" spans="1:14" ht="141.75">
      <c r="A279" s="16">
        <v>840</v>
      </c>
      <c r="B279" s="77"/>
      <c r="C279" s="16" t="s">
        <v>465</v>
      </c>
      <c r="D279" s="78" t="s">
        <v>460</v>
      </c>
      <c r="E279" s="33">
        <v>53978.59</v>
      </c>
      <c r="F279" s="33">
        <f t="shared" si="93"/>
        <v>0</v>
      </c>
      <c r="G279" s="33">
        <v>53978.59</v>
      </c>
      <c r="H279" s="33"/>
      <c r="I279" s="33"/>
      <c r="J279" s="33"/>
      <c r="K279" s="33"/>
      <c r="L279" s="33"/>
      <c r="M279" s="33"/>
      <c r="N279" s="79"/>
    </row>
    <row r="280" spans="1:14" ht="132.75" customHeight="1">
      <c r="A280" s="16">
        <v>840</v>
      </c>
      <c r="B280" s="77"/>
      <c r="C280" s="16" t="s">
        <v>465</v>
      </c>
      <c r="D280" s="78" t="s">
        <v>461</v>
      </c>
      <c r="E280" s="33">
        <v>1425000</v>
      </c>
      <c r="F280" s="33">
        <f t="shared" si="93"/>
        <v>0</v>
      </c>
      <c r="G280" s="33">
        <v>1425000</v>
      </c>
      <c r="H280" s="33"/>
      <c r="I280" s="33"/>
      <c r="J280" s="33"/>
      <c r="K280" s="33"/>
      <c r="L280" s="33"/>
      <c r="M280" s="33"/>
      <c r="N280" s="79"/>
    </row>
    <row r="281" spans="1:14" ht="189">
      <c r="A281" s="16">
        <v>842</v>
      </c>
      <c r="B281" s="77"/>
      <c r="C281" s="16" t="s">
        <v>465</v>
      </c>
      <c r="D281" s="78" t="s">
        <v>462</v>
      </c>
      <c r="E281" s="33">
        <v>3749.22</v>
      </c>
      <c r="F281" s="33">
        <f t="shared" si="93"/>
        <v>0</v>
      </c>
      <c r="G281" s="33">
        <v>3749.22</v>
      </c>
      <c r="H281" s="33"/>
      <c r="I281" s="33"/>
      <c r="J281" s="33"/>
      <c r="K281" s="33"/>
      <c r="L281" s="33"/>
      <c r="M281" s="33"/>
      <c r="N281" s="79"/>
    </row>
    <row r="282" spans="1:14" ht="141.75">
      <c r="A282" s="16">
        <v>842</v>
      </c>
      <c r="B282" s="77"/>
      <c r="C282" s="16" t="s">
        <v>465</v>
      </c>
      <c r="D282" s="78" t="s">
        <v>503</v>
      </c>
      <c r="E282" s="33">
        <v>6596.29</v>
      </c>
      <c r="F282" s="33">
        <f t="shared" si="93"/>
        <v>0</v>
      </c>
      <c r="G282" s="33">
        <v>6596.29</v>
      </c>
      <c r="H282" s="33"/>
      <c r="I282" s="33"/>
      <c r="J282" s="33"/>
      <c r="K282" s="33"/>
      <c r="L282" s="33"/>
      <c r="M282" s="33"/>
      <c r="N282" s="79"/>
    </row>
    <row r="283" spans="1:13" ht="75">
      <c r="A283" s="126"/>
      <c r="B283" s="73"/>
      <c r="C283" s="39" t="s">
        <v>447</v>
      </c>
      <c r="D283" s="74" t="s">
        <v>448</v>
      </c>
      <c r="E283" s="70">
        <f>SUM(E284:E306)</f>
        <v>-4143536.1600000006</v>
      </c>
      <c r="F283" s="70">
        <f aca="true" t="shared" si="97" ref="F283:M283">SUM(F284:F306)</f>
        <v>0</v>
      </c>
      <c r="G283" s="70">
        <f t="shared" si="97"/>
        <v>-4143536.1600000006</v>
      </c>
      <c r="H283" s="70">
        <f t="shared" si="97"/>
        <v>0</v>
      </c>
      <c r="I283" s="70">
        <f t="shared" si="97"/>
        <v>0</v>
      </c>
      <c r="J283" s="70">
        <f t="shared" si="97"/>
        <v>0</v>
      </c>
      <c r="K283" s="70">
        <f t="shared" si="97"/>
        <v>0</v>
      </c>
      <c r="L283" s="70">
        <f t="shared" si="97"/>
        <v>0</v>
      </c>
      <c r="M283" s="70">
        <f t="shared" si="97"/>
        <v>0</v>
      </c>
    </row>
    <row r="284" spans="1:18" ht="141.75">
      <c r="A284" s="16">
        <v>814</v>
      </c>
      <c r="B284" s="75"/>
      <c r="C284" s="82" t="s">
        <v>467</v>
      </c>
      <c r="D284" s="78" t="s">
        <v>471</v>
      </c>
      <c r="E284" s="32">
        <v>-30089.96</v>
      </c>
      <c r="F284" s="102">
        <f>G284-E284</f>
        <v>0</v>
      </c>
      <c r="G284" s="102">
        <v>-30089.96</v>
      </c>
      <c r="H284" s="32"/>
      <c r="I284" s="33"/>
      <c r="J284" s="32"/>
      <c r="K284" s="32"/>
      <c r="L284" s="33"/>
      <c r="M284" s="32"/>
      <c r="N284" s="92"/>
      <c r="O284" s="93"/>
      <c r="P284" s="94"/>
      <c r="Q284" s="95"/>
      <c r="R284" s="96"/>
    </row>
    <row r="285" spans="1:18" ht="132.75" customHeight="1">
      <c r="A285" s="16">
        <v>817</v>
      </c>
      <c r="B285" s="75"/>
      <c r="C285" s="82" t="s">
        <v>508</v>
      </c>
      <c r="D285" s="87" t="s">
        <v>507</v>
      </c>
      <c r="E285" s="32">
        <v>-69667.58</v>
      </c>
      <c r="F285" s="102">
        <f>G285-E285</f>
        <v>0</v>
      </c>
      <c r="G285" s="102">
        <v>-69667.58</v>
      </c>
      <c r="H285" s="32"/>
      <c r="I285" s="33"/>
      <c r="J285" s="32"/>
      <c r="K285" s="32"/>
      <c r="L285" s="33"/>
      <c r="M285" s="91"/>
      <c r="N285" s="92"/>
      <c r="O285" s="93"/>
      <c r="P285" s="94"/>
      <c r="Q285" s="95"/>
      <c r="R285" s="96"/>
    </row>
    <row r="286" spans="1:18" ht="162.75" customHeight="1">
      <c r="A286" s="16">
        <v>817</v>
      </c>
      <c r="B286" s="75"/>
      <c r="C286" s="82" t="s">
        <v>509</v>
      </c>
      <c r="D286" s="88" t="s">
        <v>506</v>
      </c>
      <c r="E286" s="32">
        <v>-13050.63</v>
      </c>
      <c r="F286" s="102">
        <f>G286-E286</f>
        <v>0</v>
      </c>
      <c r="G286" s="102">
        <v>-13050.63</v>
      </c>
      <c r="H286" s="32"/>
      <c r="I286" s="33"/>
      <c r="J286" s="32"/>
      <c r="K286" s="32"/>
      <c r="L286" s="33"/>
      <c r="M286" s="91"/>
      <c r="N286" s="97"/>
      <c r="O286" s="98"/>
      <c r="P286" s="99"/>
      <c r="Q286" s="95"/>
      <c r="R286" s="96"/>
    </row>
    <row r="287" spans="1:18" ht="165" customHeight="1">
      <c r="A287" s="16">
        <v>817</v>
      </c>
      <c r="B287" s="75"/>
      <c r="C287" s="82" t="s">
        <v>510</v>
      </c>
      <c r="D287" s="89" t="s">
        <v>505</v>
      </c>
      <c r="E287" s="32">
        <v>-26081.67</v>
      </c>
      <c r="F287" s="102">
        <f>G287-E287</f>
        <v>0</v>
      </c>
      <c r="G287" s="102">
        <v>-26081.67</v>
      </c>
      <c r="H287" s="32"/>
      <c r="I287" s="33"/>
      <c r="J287" s="32"/>
      <c r="K287" s="32"/>
      <c r="L287" s="33"/>
      <c r="M287" s="91"/>
      <c r="N287" s="97"/>
      <c r="O287" s="98"/>
      <c r="P287" s="99"/>
      <c r="Q287" s="95"/>
      <c r="R287" s="100"/>
    </row>
    <row r="288" spans="1:18" ht="150.75" customHeight="1">
      <c r="A288" s="16">
        <v>821</v>
      </c>
      <c r="B288" s="75"/>
      <c r="C288" s="82" t="s">
        <v>511</v>
      </c>
      <c r="D288" s="90" t="s">
        <v>504</v>
      </c>
      <c r="E288" s="32">
        <v>-1500</v>
      </c>
      <c r="F288" s="102">
        <f>G288-E288</f>
        <v>0</v>
      </c>
      <c r="G288" s="102">
        <v>-1500</v>
      </c>
      <c r="H288" s="32"/>
      <c r="I288" s="33"/>
      <c r="J288" s="32"/>
      <c r="K288" s="32"/>
      <c r="L288" s="33"/>
      <c r="M288" s="91"/>
      <c r="N288" s="97"/>
      <c r="O288" s="98"/>
      <c r="P288" s="99"/>
      <c r="Q288" s="95"/>
      <c r="R288" s="101"/>
    </row>
    <row r="289" spans="1:14" ht="110.25">
      <c r="A289" s="16">
        <v>821</v>
      </c>
      <c r="B289" s="77"/>
      <c r="C289" s="82" t="s">
        <v>468</v>
      </c>
      <c r="D289" s="78" t="s">
        <v>472</v>
      </c>
      <c r="E289" s="33">
        <v>-11473.52</v>
      </c>
      <c r="F289" s="102">
        <f aca="true" t="shared" si="98" ref="F289:F306">G289-E289</f>
        <v>0</v>
      </c>
      <c r="G289" s="102">
        <v>-11473.52</v>
      </c>
      <c r="H289" s="33"/>
      <c r="I289" s="33"/>
      <c r="J289" s="33"/>
      <c r="K289" s="33"/>
      <c r="L289" s="33"/>
      <c r="M289" s="33"/>
      <c r="N289" s="79"/>
    </row>
    <row r="290" spans="1:14" ht="94.5">
      <c r="A290" s="16">
        <v>821</v>
      </c>
      <c r="B290" s="75"/>
      <c r="C290" s="82" t="s">
        <v>468</v>
      </c>
      <c r="D290" s="78" t="s">
        <v>473</v>
      </c>
      <c r="E290" s="32">
        <v>-349.91</v>
      </c>
      <c r="F290" s="102">
        <f t="shared" si="98"/>
        <v>0</v>
      </c>
      <c r="G290" s="102">
        <v>-349.91</v>
      </c>
      <c r="H290" s="32"/>
      <c r="I290" s="33"/>
      <c r="J290" s="32"/>
      <c r="K290" s="32"/>
      <c r="L290" s="33"/>
      <c r="M290" s="32"/>
      <c r="N290" s="79"/>
    </row>
    <row r="291" spans="1:14" ht="110.25">
      <c r="A291" s="16">
        <v>821</v>
      </c>
      <c r="B291" s="77"/>
      <c r="C291" s="82" t="s">
        <v>468</v>
      </c>
      <c r="D291" s="78" t="s">
        <v>474</v>
      </c>
      <c r="E291" s="33">
        <v>-1479.4</v>
      </c>
      <c r="F291" s="102">
        <f t="shared" si="98"/>
        <v>0</v>
      </c>
      <c r="G291" s="103">
        <v>-1479.4</v>
      </c>
      <c r="H291" s="33"/>
      <c r="I291" s="33"/>
      <c r="J291" s="33"/>
      <c r="K291" s="33"/>
      <c r="L291" s="33"/>
      <c r="M291" s="33"/>
      <c r="N291" s="79"/>
    </row>
    <row r="292" spans="1:14" ht="94.5">
      <c r="A292" s="16">
        <v>821</v>
      </c>
      <c r="B292" s="75"/>
      <c r="C292" s="82" t="s">
        <v>468</v>
      </c>
      <c r="D292" s="78" t="s">
        <v>475</v>
      </c>
      <c r="E292" s="32">
        <v>-16339.39</v>
      </c>
      <c r="F292" s="102">
        <f t="shared" si="98"/>
        <v>0</v>
      </c>
      <c r="G292" s="102">
        <v>-16339.39</v>
      </c>
      <c r="H292" s="32"/>
      <c r="I292" s="33"/>
      <c r="J292" s="32"/>
      <c r="K292" s="32"/>
      <c r="L292" s="33"/>
      <c r="M292" s="32"/>
      <c r="N292" s="79"/>
    </row>
    <row r="293" spans="1:14" ht="157.5">
      <c r="A293" s="16">
        <v>821</v>
      </c>
      <c r="B293" s="77"/>
      <c r="C293" s="82" t="s">
        <v>468</v>
      </c>
      <c r="D293" s="78" t="s">
        <v>476</v>
      </c>
      <c r="E293" s="33">
        <v>-9281.71</v>
      </c>
      <c r="F293" s="102">
        <f t="shared" si="98"/>
        <v>0</v>
      </c>
      <c r="G293" s="103">
        <v>-9281.71</v>
      </c>
      <c r="H293" s="33"/>
      <c r="I293" s="33"/>
      <c r="J293" s="33"/>
      <c r="K293" s="33"/>
      <c r="L293" s="33"/>
      <c r="M293" s="33"/>
      <c r="N293" s="79"/>
    </row>
    <row r="294" spans="1:14" ht="110.25">
      <c r="A294" s="16">
        <v>821</v>
      </c>
      <c r="B294" s="75"/>
      <c r="C294" s="82" t="s">
        <v>468</v>
      </c>
      <c r="D294" s="78" t="s">
        <v>477</v>
      </c>
      <c r="E294" s="32">
        <v>-853401.84</v>
      </c>
      <c r="F294" s="102">
        <f t="shared" si="98"/>
        <v>0</v>
      </c>
      <c r="G294" s="102">
        <v>-853401.84</v>
      </c>
      <c r="H294" s="32"/>
      <c r="I294" s="33"/>
      <c r="J294" s="32"/>
      <c r="K294" s="32"/>
      <c r="L294" s="33"/>
      <c r="M294" s="32"/>
      <c r="N294" s="79"/>
    </row>
    <row r="295" spans="1:14" ht="126">
      <c r="A295" s="16">
        <v>832</v>
      </c>
      <c r="B295" s="77"/>
      <c r="C295" s="83" t="s">
        <v>468</v>
      </c>
      <c r="D295" s="84" t="s">
        <v>478</v>
      </c>
      <c r="E295" s="33">
        <v>-2529.04</v>
      </c>
      <c r="F295" s="102">
        <f t="shared" si="98"/>
        <v>0</v>
      </c>
      <c r="G295" s="103">
        <v>-2529.04</v>
      </c>
      <c r="H295" s="33"/>
      <c r="I295" s="33"/>
      <c r="J295" s="33"/>
      <c r="K295" s="33"/>
      <c r="L295" s="33"/>
      <c r="M295" s="33"/>
      <c r="N295" s="79"/>
    </row>
    <row r="296" spans="1:14" ht="141.75">
      <c r="A296" s="16">
        <v>832</v>
      </c>
      <c r="B296" s="75"/>
      <c r="C296" s="83" t="s">
        <v>468</v>
      </c>
      <c r="D296" s="84" t="s">
        <v>479</v>
      </c>
      <c r="E296" s="32">
        <v>-103124.7</v>
      </c>
      <c r="F296" s="102">
        <f t="shared" si="98"/>
        <v>0</v>
      </c>
      <c r="G296" s="102">
        <v>-103124.7</v>
      </c>
      <c r="H296" s="32"/>
      <c r="I296" s="33"/>
      <c r="J296" s="32"/>
      <c r="K296" s="32"/>
      <c r="L296" s="33"/>
      <c r="M296" s="32"/>
      <c r="N296" s="79"/>
    </row>
    <row r="297" spans="1:14" ht="173.25">
      <c r="A297" s="16">
        <v>832</v>
      </c>
      <c r="B297" s="77"/>
      <c r="C297" s="83" t="s">
        <v>468</v>
      </c>
      <c r="D297" s="84" t="s">
        <v>480</v>
      </c>
      <c r="E297" s="33">
        <v>-100500</v>
      </c>
      <c r="F297" s="102">
        <f t="shared" si="98"/>
        <v>0</v>
      </c>
      <c r="G297" s="103">
        <v>-100500</v>
      </c>
      <c r="H297" s="33"/>
      <c r="I297" s="33"/>
      <c r="J297" s="33"/>
      <c r="K297" s="33"/>
      <c r="L297" s="33"/>
      <c r="M297" s="33"/>
      <c r="N297" s="79"/>
    </row>
    <row r="298" spans="1:14" ht="169.5" customHeight="1">
      <c r="A298" s="16">
        <v>840</v>
      </c>
      <c r="B298" s="75"/>
      <c r="C298" s="82" t="s">
        <v>469</v>
      </c>
      <c r="D298" s="78" t="s">
        <v>481</v>
      </c>
      <c r="E298" s="32">
        <v>-1268250</v>
      </c>
      <c r="F298" s="102">
        <f t="shared" si="98"/>
        <v>0</v>
      </c>
      <c r="G298" s="104">
        <v>-1268250</v>
      </c>
      <c r="H298" s="32"/>
      <c r="I298" s="33"/>
      <c r="J298" s="32"/>
      <c r="K298" s="32"/>
      <c r="L298" s="33"/>
      <c r="M298" s="32"/>
      <c r="N298" s="79"/>
    </row>
    <row r="299" spans="1:14" ht="169.5" customHeight="1">
      <c r="A299" s="16">
        <v>840</v>
      </c>
      <c r="B299" s="75"/>
      <c r="C299" s="82" t="s">
        <v>469</v>
      </c>
      <c r="D299" s="78" t="s">
        <v>481</v>
      </c>
      <c r="E299" s="32">
        <v>-100000</v>
      </c>
      <c r="F299" s="102">
        <f t="shared" si="98"/>
        <v>0</v>
      </c>
      <c r="G299" s="104">
        <v>-100000</v>
      </c>
      <c r="H299" s="32"/>
      <c r="I299" s="33"/>
      <c r="J299" s="32"/>
      <c r="K299" s="32"/>
      <c r="L299" s="33"/>
      <c r="M299" s="32"/>
      <c r="N299" s="79"/>
    </row>
    <row r="300" spans="1:14" ht="169.5" customHeight="1">
      <c r="A300" s="16">
        <v>840</v>
      </c>
      <c r="B300" s="75"/>
      <c r="C300" s="82" t="s">
        <v>469</v>
      </c>
      <c r="D300" s="78" t="s">
        <v>481</v>
      </c>
      <c r="E300" s="32">
        <v>-300000</v>
      </c>
      <c r="F300" s="102">
        <f t="shared" si="98"/>
        <v>0</v>
      </c>
      <c r="G300" s="104">
        <v>-300000</v>
      </c>
      <c r="H300" s="32"/>
      <c r="I300" s="33"/>
      <c r="J300" s="32"/>
      <c r="K300" s="32"/>
      <c r="L300" s="33"/>
      <c r="M300" s="32"/>
      <c r="N300" s="79"/>
    </row>
    <row r="301" spans="1:22" ht="169.5" customHeight="1">
      <c r="A301" s="16">
        <v>840</v>
      </c>
      <c r="B301" s="75"/>
      <c r="C301" s="82" t="s">
        <v>469</v>
      </c>
      <c r="D301" s="78" t="s">
        <v>512</v>
      </c>
      <c r="E301" s="32">
        <v>-193643</v>
      </c>
      <c r="F301" s="102">
        <f t="shared" si="98"/>
        <v>0</v>
      </c>
      <c r="G301" s="103">
        <v>-193643</v>
      </c>
      <c r="H301" s="32"/>
      <c r="I301" s="33"/>
      <c r="J301" s="32"/>
      <c r="K301" s="32"/>
      <c r="L301" s="33"/>
      <c r="M301" s="91"/>
      <c r="N301" s="105"/>
      <c r="O301" s="79"/>
      <c r="P301" s="106"/>
      <c r="Q301" s="95"/>
      <c r="R301" s="107"/>
      <c r="S301" s="108"/>
      <c r="T301" s="108"/>
      <c r="U301" s="108"/>
      <c r="V301" s="108"/>
    </row>
    <row r="302" spans="1:22" ht="166.5" customHeight="1">
      <c r="A302" s="16">
        <v>840</v>
      </c>
      <c r="B302" s="75"/>
      <c r="C302" s="82" t="s">
        <v>469</v>
      </c>
      <c r="D302" s="78" t="s">
        <v>513</v>
      </c>
      <c r="E302" s="32">
        <v>-3051.72</v>
      </c>
      <c r="F302" s="102">
        <f t="shared" si="98"/>
        <v>0</v>
      </c>
      <c r="G302" s="103">
        <v>-3051.72</v>
      </c>
      <c r="H302" s="32"/>
      <c r="I302" s="33"/>
      <c r="J302" s="32"/>
      <c r="K302" s="32"/>
      <c r="L302" s="33"/>
      <c r="M302" s="91"/>
      <c r="N302" s="105"/>
      <c r="O302" s="79"/>
      <c r="P302" s="106"/>
      <c r="Q302" s="95"/>
      <c r="R302" s="107"/>
      <c r="S302" s="108"/>
      <c r="T302" s="108"/>
      <c r="U302" s="108"/>
      <c r="V302" s="108"/>
    </row>
    <row r="303" spans="1:22" ht="170.25" customHeight="1">
      <c r="A303" s="16">
        <v>840</v>
      </c>
      <c r="B303" s="75"/>
      <c r="C303" s="82" t="s">
        <v>469</v>
      </c>
      <c r="D303" s="78" t="s">
        <v>513</v>
      </c>
      <c r="E303" s="32">
        <v>-15195</v>
      </c>
      <c r="F303" s="102">
        <f t="shared" si="98"/>
        <v>0</v>
      </c>
      <c r="G303" s="103">
        <v>-15195</v>
      </c>
      <c r="H303" s="32"/>
      <c r="I303" s="33"/>
      <c r="J303" s="32"/>
      <c r="K303" s="32"/>
      <c r="L303" s="33"/>
      <c r="M303" s="91"/>
      <c r="N303" s="105"/>
      <c r="O303" s="79"/>
      <c r="P303" s="106"/>
      <c r="Q303" s="95"/>
      <c r="R303" s="107"/>
      <c r="S303" s="108"/>
      <c r="T303" s="108"/>
      <c r="U303" s="108"/>
      <c r="V303" s="108"/>
    </row>
    <row r="304" spans="1:22" ht="170.25" customHeight="1">
      <c r="A304" s="16">
        <v>840</v>
      </c>
      <c r="B304" s="75"/>
      <c r="C304" s="82" t="s">
        <v>469</v>
      </c>
      <c r="D304" s="78" t="s">
        <v>513</v>
      </c>
      <c r="E304" s="32">
        <v>-1014381.58</v>
      </c>
      <c r="F304" s="102">
        <f>G304-E304</f>
        <v>0</v>
      </c>
      <c r="G304" s="103">
        <v>-1014381.58</v>
      </c>
      <c r="H304" s="32"/>
      <c r="I304" s="33"/>
      <c r="J304" s="32"/>
      <c r="K304" s="32"/>
      <c r="L304" s="33"/>
      <c r="M304" s="91"/>
      <c r="N304" s="105"/>
      <c r="O304" s="79"/>
      <c r="P304" s="106"/>
      <c r="Q304" s="95"/>
      <c r="R304" s="107"/>
      <c r="S304" s="108"/>
      <c r="T304" s="108"/>
      <c r="U304" s="108"/>
      <c r="V304" s="108"/>
    </row>
    <row r="305" spans="1:14" ht="141.75">
      <c r="A305" s="16">
        <v>842</v>
      </c>
      <c r="B305" s="77"/>
      <c r="C305" s="82" t="s">
        <v>470</v>
      </c>
      <c r="D305" s="78" t="s">
        <v>482</v>
      </c>
      <c r="E305" s="33">
        <v>-3549.22</v>
      </c>
      <c r="F305" s="102">
        <f t="shared" si="98"/>
        <v>0</v>
      </c>
      <c r="G305" s="103">
        <v>-3549.22</v>
      </c>
      <c r="H305" s="33"/>
      <c r="I305" s="33"/>
      <c r="J305" s="33"/>
      <c r="K305" s="33"/>
      <c r="L305" s="33"/>
      <c r="M305" s="33"/>
      <c r="N305" s="79"/>
    </row>
    <row r="306" spans="1:14" ht="141.75">
      <c r="A306" s="16">
        <v>842</v>
      </c>
      <c r="B306" s="77"/>
      <c r="C306" s="82" t="s">
        <v>470</v>
      </c>
      <c r="D306" s="78" t="s">
        <v>514</v>
      </c>
      <c r="E306" s="33">
        <v>-6596.29</v>
      </c>
      <c r="F306" s="102">
        <f t="shared" si="98"/>
        <v>0</v>
      </c>
      <c r="G306" s="103">
        <v>-6596.29</v>
      </c>
      <c r="H306" s="33"/>
      <c r="I306" s="33"/>
      <c r="J306" s="33"/>
      <c r="K306" s="33"/>
      <c r="L306" s="33"/>
      <c r="M306" s="33"/>
      <c r="N306" s="79"/>
    </row>
    <row r="307" spans="2:13" ht="27.75" customHeight="1">
      <c r="B307" s="43"/>
      <c r="C307" s="146"/>
      <c r="D307" s="146"/>
      <c r="E307" s="35">
        <f aca="true" t="shared" si="99" ref="E307:M307">E5+E153</f>
        <v>57711154670.29</v>
      </c>
      <c r="F307" s="35">
        <f t="shared" si="99"/>
        <v>-4181137959</v>
      </c>
      <c r="G307" s="35">
        <f t="shared" si="99"/>
        <v>53530016711.29</v>
      </c>
      <c r="H307" s="35">
        <f t="shared" si="99"/>
        <v>51606528284</v>
      </c>
      <c r="I307" s="35">
        <f t="shared" si="99"/>
        <v>0</v>
      </c>
      <c r="J307" s="35">
        <f t="shared" si="99"/>
        <v>51606528284</v>
      </c>
      <c r="K307" s="35">
        <f t="shared" si="99"/>
        <v>53470059584</v>
      </c>
      <c r="L307" s="35">
        <f t="shared" si="99"/>
        <v>0</v>
      </c>
      <c r="M307" s="35">
        <f t="shared" si="99"/>
        <v>53470059584</v>
      </c>
    </row>
    <row r="308" spans="4:13" ht="18.75" hidden="1">
      <c r="D308" s="36"/>
      <c r="E308" s="37"/>
      <c r="F308" s="37"/>
      <c r="G308" s="37"/>
      <c r="H308" s="37"/>
      <c r="I308" s="37"/>
      <c r="J308" s="37"/>
      <c r="K308" s="37"/>
      <c r="L308" s="37"/>
      <c r="M308" s="37"/>
    </row>
    <row r="309" spans="4:13" ht="18.75" hidden="1">
      <c r="D309" s="1" t="s">
        <v>331</v>
      </c>
      <c r="E309" s="38">
        <f>E307-E160-E214-E244</f>
        <v>39695396094.29</v>
      </c>
      <c r="F309" s="38">
        <f aca="true" t="shared" si="100" ref="F309:M309">F307-F160-F214-F244</f>
        <v>915953741</v>
      </c>
      <c r="G309" s="38">
        <f t="shared" si="100"/>
        <v>40611349835.29</v>
      </c>
      <c r="H309" s="38">
        <f t="shared" si="100"/>
        <v>34936789500</v>
      </c>
      <c r="I309" s="38">
        <f t="shared" si="100"/>
        <v>0</v>
      </c>
      <c r="J309" s="38">
        <f t="shared" si="100"/>
        <v>34936789500</v>
      </c>
      <c r="K309" s="38">
        <f t="shared" si="100"/>
        <v>36421930500</v>
      </c>
      <c r="L309" s="38">
        <f t="shared" si="100"/>
        <v>0</v>
      </c>
      <c r="M309" s="38">
        <f t="shared" si="100"/>
        <v>36421930500</v>
      </c>
    </row>
    <row r="310" spans="4:13" ht="18.75" hidden="1">
      <c r="D310" s="51" t="s">
        <v>325</v>
      </c>
      <c r="E310" s="38">
        <f>ROUND(E309/12,2)</f>
        <v>3307949674.52</v>
      </c>
      <c r="F310" s="38">
        <f>G310-E310</f>
        <v>76329478.42000008</v>
      </c>
      <c r="G310" s="38">
        <f>ROUND(G309/12,2)</f>
        <v>3384279152.94</v>
      </c>
      <c r="H310" s="38">
        <f>ROUND(H309/12,2)</f>
        <v>2911399125</v>
      </c>
      <c r="I310" s="38">
        <f>J310-H310</f>
        <v>0</v>
      </c>
      <c r="J310" s="38">
        <f>ROUND(J309/12,2)</f>
        <v>2911399125</v>
      </c>
      <c r="K310" s="38">
        <f>ROUND(K309/12,2)</f>
        <v>3035160875</v>
      </c>
      <c r="L310" s="38">
        <f>M310-K310</f>
        <v>0</v>
      </c>
      <c r="M310" s="38">
        <f>ROUND(M309/12,2)</f>
        <v>3035160875</v>
      </c>
    </row>
    <row r="311" ht="18.75" hidden="1"/>
    <row r="312" ht="18.75" hidden="1"/>
    <row r="313" ht="18.75" hidden="1"/>
    <row r="314" ht="18.75" hidden="1">
      <c r="G314" s="38">
        <f>G261+G283</f>
        <v>21289675.28999999</v>
      </c>
    </row>
    <row r="315" ht="18.75" hidden="1"/>
    <row r="316" ht="18.75" hidden="1"/>
  </sheetData>
  <sheetProtection/>
  <autoFilter ref="A160:V307"/>
  <mergeCells count="15">
    <mergeCell ref="M3:M4"/>
    <mergeCell ref="C307:D307"/>
    <mergeCell ref="G3:G4"/>
    <mergeCell ref="H3:H4"/>
    <mergeCell ref="I3:I4"/>
    <mergeCell ref="J3:J4"/>
    <mergeCell ref="K3:K4"/>
    <mergeCell ref="L3:L4"/>
    <mergeCell ref="C1:H1"/>
    <mergeCell ref="A3:A4"/>
    <mergeCell ref="B3:B4"/>
    <mergeCell ref="C3:C4"/>
    <mergeCell ref="D3:D4"/>
    <mergeCell ref="E3:E4"/>
    <mergeCell ref="F3:F4"/>
  </mergeCells>
  <printOptions/>
  <pageMargins left="0.5511811023622047" right="0.2755905511811024" top="0.31496062992125984" bottom="0.15748031496062992" header="0.15748031496062992" footer="0.15748031496062992"/>
  <pageSetup fitToHeight="0" fitToWidth="1" horizontalDpi="600" verticalDpi="600" orientation="landscape" paperSize="9" scale="41"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sheetPr>
    <tabColor rgb="FF0000CC"/>
  </sheetPr>
  <dimension ref="A1:M258"/>
  <sheetViews>
    <sheetView showGridLines="0" tabSelected="1" view="pageBreakPreview" zoomScale="74" zoomScaleNormal="70" zoomScaleSheetLayoutView="74" zoomScalePageLayoutView="0" workbookViewId="0" topLeftCell="A1">
      <pane ySplit="4" topLeftCell="A242" activePane="bottomLeft" state="frozen"/>
      <selection pane="topLeft" activeCell="A1" sqref="A1"/>
      <selection pane="bottomLeft" activeCell="H3" sqref="H3:H4"/>
    </sheetView>
  </sheetViews>
  <sheetFormatPr defaultColWidth="9.140625" defaultRowHeight="15"/>
  <cols>
    <col min="1" max="1" width="29.421875" style="2" customWidth="1"/>
    <col min="2" max="2" width="62.57421875" style="1" customWidth="1"/>
    <col min="3" max="3" width="24.57421875" style="38" customWidth="1"/>
    <col min="4" max="6" width="23.28125" style="38" customWidth="1"/>
    <col min="7" max="7" width="23.8515625" style="38" customWidth="1"/>
    <col min="8" max="8" width="23.28125" style="38" customWidth="1"/>
    <col min="9" max="17" width="25.140625" style="1" customWidth="1"/>
    <col min="18" max="16384" width="9.140625" style="1" customWidth="1"/>
  </cols>
  <sheetData>
    <row r="1" spans="1:8" ht="44.25" customHeight="1">
      <c r="A1" s="147" t="s">
        <v>609</v>
      </c>
      <c r="B1" s="147"/>
      <c r="C1" s="147"/>
      <c r="D1" s="147"/>
      <c r="E1" s="147"/>
      <c r="F1" s="147"/>
      <c r="G1" s="147"/>
      <c r="H1" s="147"/>
    </row>
    <row r="2" spans="3:8" ht="18.75">
      <c r="C2" s="3"/>
      <c r="D2" s="3"/>
      <c r="E2" s="3"/>
      <c r="F2" s="3"/>
      <c r="G2" s="3"/>
      <c r="H2" s="63" t="s">
        <v>691</v>
      </c>
    </row>
    <row r="3" spans="1:8" ht="66" customHeight="1">
      <c r="A3" s="142" t="s">
        <v>1</v>
      </c>
      <c r="B3" s="142" t="s">
        <v>2</v>
      </c>
      <c r="C3" s="143" t="s">
        <v>608</v>
      </c>
      <c r="D3" s="143" t="s">
        <v>680</v>
      </c>
      <c r="E3" s="143" t="s">
        <v>681</v>
      </c>
      <c r="F3" s="143" t="s">
        <v>682</v>
      </c>
      <c r="G3" s="143" t="s">
        <v>683</v>
      </c>
      <c r="H3" s="143" t="s">
        <v>607</v>
      </c>
    </row>
    <row r="4" spans="1:8" ht="27" customHeight="1">
      <c r="A4" s="142"/>
      <c r="B4" s="142"/>
      <c r="C4" s="144"/>
      <c r="D4" s="144"/>
      <c r="E4" s="144"/>
      <c r="F4" s="144"/>
      <c r="G4" s="144"/>
      <c r="H4" s="144"/>
    </row>
    <row r="5" spans="1:8" ht="24.75" customHeight="1">
      <c r="A5" s="4" t="s">
        <v>3</v>
      </c>
      <c r="B5" s="5" t="s">
        <v>4</v>
      </c>
      <c r="C5" s="6">
        <f aca="true" t="shared" si="0" ref="C5:H5">C6+C16+C26+C34+C42+C48+C73+C93+C109+C123+C133+C136+C166</f>
        <v>24794658400</v>
      </c>
      <c r="D5" s="6">
        <f t="shared" si="0"/>
        <v>644186000</v>
      </c>
      <c r="E5" s="6">
        <f t="shared" si="0"/>
        <v>677475119</v>
      </c>
      <c r="F5" s="6">
        <f t="shared" si="0"/>
        <v>886346629</v>
      </c>
      <c r="G5" s="6">
        <f t="shared" si="0"/>
        <v>0</v>
      </c>
      <c r="H5" s="6">
        <f t="shared" si="0"/>
        <v>27002659648</v>
      </c>
    </row>
    <row r="6" spans="1:8" ht="23.25" customHeight="1">
      <c r="A6" s="7" t="s">
        <v>5</v>
      </c>
      <c r="B6" s="8" t="s">
        <v>6</v>
      </c>
      <c r="C6" s="9">
        <f aca="true" t="shared" si="1" ref="C6:H6">C7+C11</f>
        <v>14899521000</v>
      </c>
      <c r="D6" s="9">
        <f t="shared" si="1"/>
        <v>0</v>
      </c>
      <c r="E6" s="9">
        <f t="shared" si="1"/>
        <v>479501119</v>
      </c>
      <c r="F6" s="9">
        <f t="shared" si="1"/>
        <v>663176881</v>
      </c>
      <c r="G6" s="9">
        <f t="shared" si="1"/>
        <v>0</v>
      </c>
      <c r="H6" s="9">
        <f t="shared" si="1"/>
        <v>16042199000</v>
      </c>
    </row>
    <row r="7" spans="1:8" ht="27" customHeight="1">
      <c r="A7" s="10" t="s">
        <v>7</v>
      </c>
      <c r="B7" s="11" t="s">
        <v>8</v>
      </c>
      <c r="C7" s="12">
        <f aca="true" t="shared" si="2" ref="C7:H7">C8</f>
        <v>5394044000</v>
      </c>
      <c r="D7" s="12">
        <f t="shared" si="2"/>
        <v>0</v>
      </c>
      <c r="E7" s="12">
        <f t="shared" si="2"/>
        <v>250000000</v>
      </c>
      <c r="F7" s="12">
        <f t="shared" si="2"/>
        <v>308474000</v>
      </c>
      <c r="G7" s="12">
        <f t="shared" si="2"/>
        <v>0</v>
      </c>
      <c r="H7" s="12">
        <f t="shared" si="2"/>
        <v>5952518000</v>
      </c>
    </row>
    <row r="8" spans="1:8" ht="63.75" customHeight="1">
      <c r="A8" s="13" t="s">
        <v>9</v>
      </c>
      <c r="B8" s="14" t="s">
        <v>10</v>
      </c>
      <c r="C8" s="15">
        <f aca="true" t="shared" si="3" ref="C8:H8">C9+C10</f>
        <v>5394044000</v>
      </c>
      <c r="D8" s="15">
        <f t="shared" si="3"/>
        <v>0</v>
      </c>
      <c r="E8" s="15">
        <f t="shared" si="3"/>
        <v>250000000</v>
      </c>
      <c r="F8" s="15">
        <f t="shared" si="3"/>
        <v>308474000</v>
      </c>
      <c r="G8" s="15">
        <f t="shared" si="3"/>
        <v>0</v>
      </c>
      <c r="H8" s="15">
        <f t="shared" si="3"/>
        <v>5952518000</v>
      </c>
    </row>
    <row r="9" spans="1:8" ht="80.25" customHeight="1">
      <c r="A9" s="16" t="s">
        <v>11</v>
      </c>
      <c r="B9" s="18" t="s">
        <v>12</v>
      </c>
      <c r="C9" s="19">
        <f>4346044000+48000000</f>
        <v>4394044000</v>
      </c>
      <c r="D9" s="23"/>
      <c r="E9" s="23">
        <v>250000000</v>
      </c>
      <c r="F9" s="23">
        <v>611491000</v>
      </c>
      <c r="G9" s="19"/>
      <c r="H9" s="19">
        <f>C9+D9+E9+F9+G9</f>
        <v>5255535000</v>
      </c>
    </row>
    <row r="10" spans="1:8" ht="63" customHeight="1">
      <c r="A10" s="16" t="s">
        <v>13</v>
      </c>
      <c r="B10" s="18" t="s">
        <v>14</v>
      </c>
      <c r="C10" s="19">
        <v>1000000000</v>
      </c>
      <c r="D10" s="23"/>
      <c r="E10" s="23"/>
      <c r="F10" s="23">
        <v>-303017000</v>
      </c>
      <c r="G10" s="19"/>
      <c r="H10" s="19">
        <f>C10+D10+E10+F10+G10</f>
        <v>696983000</v>
      </c>
    </row>
    <row r="11" spans="1:8" ht="25.5" customHeight="1">
      <c r="A11" s="10" t="s">
        <v>15</v>
      </c>
      <c r="B11" s="11" t="s">
        <v>16</v>
      </c>
      <c r="C11" s="12">
        <f aca="true" t="shared" si="4" ref="C11:H11">C12+C13+C14+C15</f>
        <v>9505477000</v>
      </c>
      <c r="D11" s="12">
        <f t="shared" si="4"/>
        <v>0</v>
      </c>
      <c r="E11" s="12">
        <f t="shared" si="4"/>
        <v>229501119</v>
      </c>
      <c r="F11" s="12">
        <f t="shared" si="4"/>
        <v>354702881</v>
      </c>
      <c r="G11" s="12">
        <f t="shared" si="4"/>
        <v>0</v>
      </c>
      <c r="H11" s="12">
        <f t="shared" si="4"/>
        <v>10089681000</v>
      </c>
    </row>
    <row r="12" spans="1:8" ht="118.5" customHeight="1">
      <c r="A12" s="16" t="s">
        <v>17</v>
      </c>
      <c r="B12" s="18" t="s">
        <v>18</v>
      </c>
      <c r="C12" s="19">
        <v>9012346000</v>
      </c>
      <c r="D12" s="23"/>
      <c r="E12" s="23">
        <v>225001119</v>
      </c>
      <c r="F12" s="23">
        <v>563902881</v>
      </c>
      <c r="G12" s="19"/>
      <c r="H12" s="19">
        <f>C12+D12+E12+F12+G12</f>
        <v>9801250000</v>
      </c>
    </row>
    <row r="13" spans="1:8" ht="179.25" customHeight="1">
      <c r="A13" s="16" t="s">
        <v>19</v>
      </c>
      <c r="B13" s="18" t="s">
        <v>20</v>
      </c>
      <c r="C13" s="19">
        <v>122681000</v>
      </c>
      <c r="D13" s="23"/>
      <c r="E13" s="23"/>
      <c r="F13" s="23">
        <v>-15365000</v>
      </c>
      <c r="G13" s="19"/>
      <c r="H13" s="19">
        <f>C13+D13+E13+F13+G13</f>
        <v>107316000</v>
      </c>
    </row>
    <row r="14" spans="1:8" ht="81" customHeight="1">
      <c r="A14" s="16" t="s">
        <v>21</v>
      </c>
      <c r="B14" s="18" t="s">
        <v>22</v>
      </c>
      <c r="C14" s="19">
        <v>301984000</v>
      </c>
      <c r="D14" s="23"/>
      <c r="E14" s="23"/>
      <c r="F14" s="23">
        <v>-197250000</v>
      </c>
      <c r="G14" s="19"/>
      <c r="H14" s="19">
        <f>C14+D14+E14+F14+G14</f>
        <v>104734000</v>
      </c>
    </row>
    <row r="15" spans="1:8" ht="141.75" customHeight="1">
      <c r="A15" s="16" t="s">
        <v>23</v>
      </c>
      <c r="B15" s="18" t="s">
        <v>24</v>
      </c>
      <c r="C15" s="19">
        <v>68466000</v>
      </c>
      <c r="D15" s="23"/>
      <c r="E15" s="23">
        <v>4500000</v>
      </c>
      <c r="F15" s="23">
        <v>3415000</v>
      </c>
      <c r="G15" s="19"/>
      <c r="H15" s="19">
        <f>C15+D15+E15+F15+G15</f>
        <v>76381000</v>
      </c>
    </row>
    <row r="16" spans="1:8" ht="60.75" customHeight="1">
      <c r="A16" s="7" t="s">
        <v>25</v>
      </c>
      <c r="B16" s="8" t="s">
        <v>26</v>
      </c>
      <c r="C16" s="9">
        <f aca="true" t="shared" si="5" ref="C16:H16">C18+C19+C20+C22+C23+C24+C25</f>
        <v>3826438000</v>
      </c>
      <c r="D16" s="9">
        <f t="shared" si="5"/>
        <v>0</v>
      </c>
      <c r="E16" s="9">
        <f t="shared" si="5"/>
        <v>0</v>
      </c>
      <c r="F16" s="9">
        <f t="shared" si="5"/>
        <v>-73880000</v>
      </c>
      <c r="G16" s="9">
        <f t="shared" si="5"/>
        <v>0</v>
      </c>
      <c r="H16" s="9">
        <f t="shared" si="5"/>
        <v>3752558000</v>
      </c>
    </row>
    <row r="17" spans="1:8" ht="42" customHeight="1">
      <c r="A17" s="116" t="s">
        <v>530</v>
      </c>
      <c r="B17" s="117" t="s">
        <v>524</v>
      </c>
      <c r="C17" s="118">
        <f aca="true" t="shared" si="6" ref="C17:H17">C18+C19+C21+C22+C23+C24+C25</f>
        <v>3826438000</v>
      </c>
      <c r="D17" s="118">
        <f t="shared" si="6"/>
        <v>0</v>
      </c>
      <c r="E17" s="118">
        <f t="shared" si="6"/>
        <v>0</v>
      </c>
      <c r="F17" s="118">
        <f t="shared" si="6"/>
        <v>-73880000</v>
      </c>
      <c r="G17" s="118">
        <f t="shared" si="6"/>
        <v>0</v>
      </c>
      <c r="H17" s="118">
        <f t="shared" si="6"/>
        <v>3752558000</v>
      </c>
    </row>
    <row r="18" spans="1:8" ht="37.5">
      <c r="A18" s="16" t="s">
        <v>27</v>
      </c>
      <c r="B18" s="18" t="s">
        <v>28</v>
      </c>
      <c r="C18" s="19">
        <v>591801000</v>
      </c>
      <c r="D18" s="23"/>
      <c r="E18" s="23"/>
      <c r="F18" s="23">
        <v>-21960000</v>
      </c>
      <c r="G18" s="19"/>
      <c r="H18" s="19">
        <f>C18+F18</f>
        <v>569841000</v>
      </c>
    </row>
    <row r="19" spans="1:8" ht="40.5" customHeight="1">
      <c r="A19" s="16" t="s">
        <v>29</v>
      </c>
      <c r="B19" s="18" t="s">
        <v>30</v>
      </c>
      <c r="C19" s="19">
        <v>100170000</v>
      </c>
      <c r="D19" s="23"/>
      <c r="E19" s="23"/>
      <c r="F19" s="23">
        <v>9828000</v>
      </c>
      <c r="G19" s="19"/>
      <c r="H19" s="19">
        <f>C19+F19</f>
        <v>109998000</v>
      </c>
    </row>
    <row r="20" spans="1:8" ht="219" customHeight="1">
      <c r="A20" s="116" t="s">
        <v>525</v>
      </c>
      <c r="B20" s="117" t="s">
        <v>603</v>
      </c>
      <c r="C20" s="118">
        <f aca="true" t="shared" si="7" ref="C20:H20">C21</f>
        <v>475709000</v>
      </c>
      <c r="D20" s="118">
        <f t="shared" si="7"/>
        <v>0</v>
      </c>
      <c r="E20" s="118">
        <f t="shared" si="7"/>
        <v>0</v>
      </c>
      <c r="F20" s="118">
        <f t="shared" si="7"/>
        <v>-158275000</v>
      </c>
      <c r="G20" s="118">
        <f t="shared" si="7"/>
        <v>0</v>
      </c>
      <c r="H20" s="118">
        <f t="shared" si="7"/>
        <v>317434000</v>
      </c>
    </row>
    <row r="21" spans="1:8" ht="233.25" customHeight="1">
      <c r="A21" s="42" t="s">
        <v>527</v>
      </c>
      <c r="B21" s="55" t="s">
        <v>532</v>
      </c>
      <c r="C21" s="19">
        <v>475709000</v>
      </c>
      <c r="D21" s="23"/>
      <c r="E21" s="23"/>
      <c r="F21" s="23">
        <v>-158275000</v>
      </c>
      <c r="G21" s="19"/>
      <c r="H21" s="19">
        <f>C21+F21</f>
        <v>317434000</v>
      </c>
    </row>
    <row r="22" spans="1:8" ht="120.75" customHeight="1">
      <c r="A22" s="16" t="s">
        <v>31</v>
      </c>
      <c r="B22" s="18" t="s">
        <v>32</v>
      </c>
      <c r="C22" s="19">
        <v>1096648000</v>
      </c>
      <c r="D22" s="23"/>
      <c r="E22" s="23"/>
      <c r="F22" s="23">
        <v>94391000</v>
      </c>
      <c r="G22" s="19"/>
      <c r="H22" s="19">
        <f>C22+F22</f>
        <v>1191039000</v>
      </c>
    </row>
    <row r="23" spans="1:8" ht="138" customHeight="1">
      <c r="A23" s="16" t="s">
        <v>33</v>
      </c>
      <c r="B23" s="18" t="s">
        <v>34</v>
      </c>
      <c r="C23" s="19">
        <v>9873000</v>
      </c>
      <c r="D23" s="23"/>
      <c r="E23" s="23"/>
      <c r="F23" s="23">
        <v>752000</v>
      </c>
      <c r="G23" s="19"/>
      <c r="H23" s="19">
        <f>C23+F23</f>
        <v>10625000</v>
      </c>
    </row>
    <row r="24" spans="1:8" ht="120" customHeight="1">
      <c r="A24" s="16" t="s">
        <v>35</v>
      </c>
      <c r="B24" s="18" t="s">
        <v>36</v>
      </c>
      <c r="C24" s="19">
        <v>1710553000</v>
      </c>
      <c r="D24" s="23"/>
      <c r="E24" s="23"/>
      <c r="F24" s="23">
        <v>90973000</v>
      </c>
      <c r="G24" s="19"/>
      <c r="H24" s="19">
        <f>C24+F24</f>
        <v>1801526000</v>
      </c>
    </row>
    <row r="25" spans="1:8" ht="112.5">
      <c r="A25" s="16" t="s">
        <v>37</v>
      </c>
      <c r="B25" s="18" t="s">
        <v>38</v>
      </c>
      <c r="C25" s="19">
        <v>-158316000</v>
      </c>
      <c r="D25" s="23"/>
      <c r="E25" s="23"/>
      <c r="F25" s="23">
        <v>-89589000</v>
      </c>
      <c r="G25" s="19"/>
      <c r="H25" s="19">
        <f>C25+F25</f>
        <v>-247905000</v>
      </c>
    </row>
    <row r="26" spans="1:8" ht="25.5" customHeight="1">
      <c r="A26" s="7" t="s">
        <v>39</v>
      </c>
      <c r="B26" s="8" t="s">
        <v>40</v>
      </c>
      <c r="C26" s="9">
        <f aca="true" t="shared" si="8" ref="C26:H26">C27+C33</f>
        <v>1692970000</v>
      </c>
      <c r="D26" s="9">
        <f t="shared" si="8"/>
        <v>0</v>
      </c>
      <c r="E26" s="9">
        <f t="shared" si="8"/>
        <v>159275000</v>
      </c>
      <c r="F26" s="9">
        <f t="shared" si="8"/>
        <v>135786000</v>
      </c>
      <c r="G26" s="9">
        <f t="shared" si="8"/>
        <v>0</v>
      </c>
      <c r="H26" s="9">
        <f t="shared" si="8"/>
        <v>1988024500</v>
      </c>
    </row>
    <row r="27" spans="1:8" ht="42.75" customHeight="1">
      <c r="A27" s="10" t="s">
        <v>41</v>
      </c>
      <c r="B27" s="20" t="s">
        <v>42</v>
      </c>
      <c r="C27" s="12">
        <f>C28+C30+C32</f>
        <v>1692970000</v>
      </c>
      <c r="D27" s="12">
        <f>D28+D30+D32</f>
        <v>0</v>
      </c>
      <c r="E27" s="12">
        <f>E28+E30+E32</f>
        <v>159275000</v>
      </c>
      <c r="F27" s="12">
        <f>F28+F30+F32</f>
        <v>135779500</v>
      </c>
      <c r="G27" s="12">
        <f>G28+G30+G32</f>
        <v>0</v>
      </c>
      <c r="H27" s="12">
        <f>H28+H30</f>
        <v>1988018000</v>
      </c>
    </row>
    <row r="28" spans="1:8" ht="56.25">
      <c r="A28" s="13" t="s">
        <v>43</v>
      </c>
      <c r="B28" s="21" t="s">
        <v>44</v>
      </c>
      <c r="C28" s="15">
        <f aca="true" t="shared" si="9" ref="C28:H28">C29</f>
        <v>1112281000</v>
      </c>
      <c r="D28" s="15">
        <f t="shared" si="9"/>
        <v>0</v>
      </c>
      <c r="E28" s="15">
        <f t="shared" si="9"/>
        <v>159275000</v>
      </c>
      <c r="F28" s="15">
        <f t="shared" si="9"/>
        <v>100176000</v>
      </c>
      <c r="G28" s="15">
        <f t="shared" si="9"/>
        <v>0</v>
      </c>
      <c r="H28" s="15">
        <f t="shared" si="9"/>
        <v>1371732000</v>
      </c>
    </row>
    <row r="29" spans="1:8" ht="56.25">
      <c r="A29" s="16" t="s">
        <v>45</v>
      </c>
      <c r="B29" s="22" t="s">
        <v>44</v>
      </c>
      <c r="C29" s="19">
        <v>1112281000</v>
      </c>
      <c r="D29" s="23"/>
      <c r="E29" s="23">
        <v>159275000</v>
      </c>
      <c r="F29" s="23">
        <v>100176000</v>
      </c>
      <c r="G29" s="19"/>
      <c r="H29" s="19">
        <f>C29+D29+E29+F29+G29</f>
        <v>1371732000</v>
      </c>
    </row>
    <row r="30" spans="1:8" ht="60" customHeight="1">
      <c r="A30" s="13" t="s">
        <v>46</v>
      </c>
      <c r="B30" s="21" t="s">
        <v>47</v>
      </c>
      <c r="C30" s="15">
        <f aca="true" t="shared" si="10" ref="C30:H30">C31</f>
        <v>580689000</v>
      </c>
      <c r="D30" s="15">
        <f t="shared" si="10"/>
        <v>0</v>
      </c>
      <c r="E30" s="15">
        <f t="shared" si="10"/>
        <v>0</v>
      </c>
      <c r="F30" s="15">
        <f t="shared" si="10"/>
        <v>35597000</v>
      </c>
      <c r="G30" s="15">
        <f t="shared" si="10"/>
        <v>0</v>
      </c>
      <c r="H30" s="15">
        <f t="shared" si="10"/>
        <v>616286000</v>
      </c>
    </row>
    <row r="31" spans="1:8" ht="61.5" customHeight="1">
      <c r="A31" s="16" t="s">
        <v>48</v>
      </c>
      <c r="B31" s="22" t="s">
        <v>47</v>
      </c>
      <c r="C31" s="19">
        <v>580689000</v>
      </c>
      <c r="D31" s="23"/>
      <c r="E31" s="23"/>
      <c r="F31" s="23">
        <v>35597000</v>
      </c>
      <c r="G31" s="19"/>
      <c r="H31" s="19">
        <f>C31+F31</f>
        <v>616286000</v>
      </c>
    </row>
    <row r="32" spans="1:8" ht="21.75" customHeight="1">
      <c r="A32" s="13" t="s">
        <v>685</v>
      </c>
      <c r="B32" s="21" t="s">
        <v>686</v>
      </c>
      <c r="C32" s="15">
        <f aca="true" t="shared" si="11" ref="C32:H32">C33</f>
        <v>0</v>
      </c>
      <c r="D32" s="15">
        <f t="shared" si="11"/>
        <v>0</v>
      </c>
      <c r="E32" s="15">
        <f t="shared" si="11"/>
        <v>0</v>
      </c>
      <c r="F32" s="15">
        <f t="shared" si="11"/>
        <v>6500</v>
      </c>
      <c r="G32" s="15">
        <f t="shared" si="11"/>
        <v>0</v>
      </c>
      <c r="H32" s="15">
        <f t="shared" si="11"/>
        <v>6500</v>
      </c>
    </row>
    <row r="33" spans="1:8" ht="41.25" customHeight="1">
      <c r="A33" s="16" t="s">
        <v>53</v>
      </c>
      <c r="B33" s="22" t="s">
        <v>54</v>
      </c>
      <c r="C33" s="19"/>
      <c r="D33" s="23"/>
      <c r="E33" s="23"/>
      <c r="F33" s="23">
        <v>6500</v>
      </c>
      <c r="G33" s="19"/>
      <c r="H33" s="19">
        <f>C33+F33</f>
        <v>6500</v>
      </c>
    </row>
    <row r="34" spans="1:8" ht="23.25" customHeight="1">
      <c r="A34" s="7" t="s">
        <v>55</v>
      </c>
      <c r="B34" s="8" t="s">
        <v>56</v>
      </c>
      <c r="C34" s="9">
        <f aca="true" t="shared" si="12" ref="C34:H34">C35+C38+C41</f>
        <v>3559001000</v>
      </c>
      <c r="D34" s="9">
        <f t="shared" si="12"/>
        <v>529186000</v>
      </c>
      <c r="E34" s="9">
        <f t="shared" si="12"/>
        <v>0</v>
      </c>
      <c r="F34" s="9">
        <f t="shared" si="12"/>
        <v>30718000</v>
      </c>
      <c r="G34" s="9">
        <f t="shared" si="12"/>
        <v>0</v>
      </c>
      <c r="H34" s="9">
        <f t="shared" si="12"/>
        <v>4118905000</v>
      </c>
    </row>
    <row r="35" spans="1:8" ht="23.25" customHeight="1">
      <c r="A35" s="13" t="s">
        <v>57</v>
      </c>
      <c r="B35" s="14" t="s">
        <v>58</v>
      </c>
      <c r="C35" s="15">
        <f aca="true" t="shared" si="13" ref="C35:H35">C36+C37</f>
        <v>2755000000</v>
      </c>
      <c r="D35" s="15">
        <f t="shared" si="13"/>
        <v>496695000</v>
      </c>
      <c r="E35" s="15">
        <f t="shared" si="13"/>
        <v>0</v>
      </c>
      <c r="F35" s="15">
        <f t="shared" si="13"/>
        <v>0</v>
      </c>
      <c r="G35" s="15">
        <f t="shared" si="13"/>
        <v>0</v>
      </c>
      <c r="H35" s="15">
        <f t="shared" si="13"/>
        <v>3251695000</v>
      </c>
    </row>
    <row r="36" spans="1:8" ht="37.5">
      <c r="A36" s="16" t="s">
        <v>59</v>
      </c>
      <c r="B36" s="18" t="s">
        <v>60</v>
      </c>
      <c r="C36" s="19">
        <v>2702655000</v>
      </c>
      <c r="D36" s="19">
        <v>496695000</v>
      </c>
      <c r="E36" s="19"/>
      <c r="F36" s="19"/>
      <c r="G36" s="19"/>
      <c r="H36" s="19">
        <f>C36+D36</f>
        <v>3199350000</v>
      </c>
    </row>
    <row r="37" spans="1:8" ht="42.75" customHeight="1">
      <c r="A37" s="16" t="s">
        <v>61</v>
      </c>
      <c r="B37" s="18" t="s">
        <v>62</v>
      </c>
      <c r="C37" s="19">
        <v>52345000</v>
      </c>
      <c r="D37" s="19"/>
      <c r="E37" s="19"/>
      <c r="F37" s="19"/>
      <c r="G37" s="19"/>
      <c r="H37" s="19">
        <f>C37+D37</f>
        <v>52345000</v>
      </c>
    </row>
    <row r="38" spans="1:8" ht="18.75">
      <c r="A38" s="13" t="s">
        <v>63</v>
      </c>
      <c r="B38" s="14" t="s">
        <v>64</v>
      </c>
      <c r="C38" s="15">
        <f aca="true" t="shared" si="14" ref="C38:H38">C39+C40</f>
        <v>797863000</v>
      </c>
      <c r="D38" s="15">
        <f t="shared" si="14"/>
        <v>0</v>
      </c>
      <c r="E38" s="15">
        <f t="shared" si="14"/>
        <v>0</v>
      </c>
      <c r="F38" s="15">
        <f t="shared" si="14"/>
        <v>32534000</v>
      </c>
      <c r="G38" s="15">
        <f t="shared" si="14"/>
        <v>0</v>
      </c>
      <c r="H38" s="15">
        <f t="shared" si="14"/>
        <v>830397000</v>
      </c>
    </row>
    <row r="39" spans="1:8" ht="18.75">
      <c r="A39" s="16" t="s">
        <v>65</v>
      </c>
      <c r="B39" s="18" t="s">
        <v>66</v>
      </c>
      <c r="C39" s="19">
        <v>138128000</v>
      </c>
      <c r="D39" s="19"/>
      <c r="E39" s="19"/>
      <c r="F39" s="19"/>
      <c r="G39" s="19"/>
      <c r="H39" s="19">
        <f>C39+D39+F39</f>
        <v>138128000</v>
      </c>
    </row>
    <row r="40" spans="1:8" ht="18.75">
      <c r="A40" s="16" t="s">
        <v>67</v>
      </c>
      <c r="B40" s="18" t="s">
        <v>68</v>
      </c>
      <c r="C40" s="19">
        <v>659735000</v>
      </c>
      <c r="D40" s="23"/>
      <c r="E40" s="23"/>
      <c r="F40" s="23">
        <v>32534000</v>
      </c>
      <c r="G40" s="19"/>
      <c r="H40" s="19">
        <f>C40+D40+F40</f>
        <v>692269000</v>
      </c>
    </row>
    <row r="41" spans="1:8" ht="18.75">
      <c r="A41" s="16" t="s">
        <v>69</v>
      </c>
      <c r="B41" s="18" t="s">
        <v>70</v>
      </c>
      <c r="C41" s="19">
        <v>6138000</v>
      </c>
      <c r="D41" s="23">
        <v>32491000</v>
      </c>
      <c r="E41" s="23"/>
      <c r="F41" s="23">
        <v>-1816000</v>
      </c>
      <c r="G41" s="19"/>
      <c r="H41" s="19">
        <f>C41+D41+F41</f>
        <v>36813000</v>
      </c>
    </row>
    <row r="42" spans="1:8" ht="56.25">
      <c r="A42" s="7" t="s">
        <v>71</v>
      </c>
      <c r="B42" s="8" t="s">
        <v>72</v>
      </c>
      <c r="C42" s="9">
        <f aca="true" t="shared" si="15" ref="C42:H42">C43+C46</f>
        <v>14825000</v>
      </c>
      <c r="D42" s="9">
        <f t="shared" si="15"/>
        <v>0</v>
      </c>
      <c r="E42" s="9">
        <f t="shared" si="15"/>
        <v>0</v>
      </c>
      <c r="F42" s="9">
        <f t="shared" si="15"/>
        <v>2498000</v>
      </c>
      <c r="G42" s="9">
        <f t="shared" si="15"/>
        <v>0</v>
      </c>
      <c r="H42" s="9">
        <f t="shared" si="15"/>
        <v>17323000</v>
      </c>
    </row>
    <row r="43" spans="1:8" ht="23.25" customHeight="1">
      <c r="A43" s="10" t="s">
        <v>73</v>
      </c>
      <c r="B43" s="11" t="s">
        <v>74</v>
      </c>
      <c r="C43" s="12">
        <f aca="true" t="shared" si="16" ref="C43:H43">C44+C45</f>
        <v>14282000</v>
      </c>
      <c r="D43" s="12">
        <f t="shared" si="16"/>
        <v>0</v>
      </c>
      <c r="E43" s="12">
        <f t="shared" si="16"/>
        <v>0</v>
      </c>
      <c r="F43" s="12">
        <f t="shared" si="16"/>
        <v>2536000</v>
      </c>
      <c r="G43" s="12">
        <f t="shared" si="16"/>
        <v>0</v>
      </c>
      <c r="H43" s="12">
        <f t="shared" si="16"/>
        <v>16818000</v>
      </c>
    </row>
    <row r="44" spans="1:8" ht="37.5">
      <c r="A44" s="16" t="s">
        <v>75</v>
      </c>
      <c r="B44" s="18" t="s">
        <v>76</v>
      </c>
      <c r="C44" s="19">
        <v>7565000</v>
      </c>
      <c r="D44" s="23"/>
      <c r="E44" s="23"/>
      <c r="F44" s="23">
        <v>1771000</v>
      </c>
      <c r="G44" s="19"/>
      <c r="H44" s="19">
        <f>C44+F44</f>
        <v>9336000</v>
      </c>
    </row>
    <row r="45" spans="1:8" ht="56.25">
      <c r="A45" s="16" t="s">
        <v>77</v>
      </c>
      <c r="B45" s="18" t="s">
        <v>78</v>
      </c>
      <c r="C45" s="19">
        <v>6717000</v>
      </c>
      <c r="D45" s="23"/>
      <c r="E45" s="23"/>
      <c r="F45" s="23">
        <v>765000</v>
      </c>
      <c r="G45" s="19"/>
      <c r="H45" s="19">
        <f>C45+F45</f>
        <v>7482000</v>
      </c>
    </row>
    <row r="46" spans="1:8" ht="63" customHeight="1">
      <c r="A46" s="10" t="s">
        <v>79</v>
      </c>
      <c r="B46" s="11" t="s">
        <v>80</v>
      </c>
      <c r="C46" s="12">
        <f aca="true" t="shared" si="17" ref="C46:H46">C47</f>
        <v>543000</v>
      </c>
      <c r="D46" s="12">
        <f t="shared" si="17"/>
        <v>0</v>
      </c>
      <c r="E46" s="12">
        <f t="shared" si="17"/>
        <v>0</v>
      </c>
      <c r="F46" s="12">
        <f t="shared" si="17"/>
        <v>-38000</v>
      </c>
      <c r="G46" s="12">
        <f t="shared" si="17"/>
        <v>0</v>
      </c>
      <c r="H46" s="12">
        <f t="shared" si="17"/>
        <v>505000</v>
      </c>
    </row>
    <row r="47" spans="1:8" ht="26.25" customHeight="1">
      <c r="A47" s="16" t="s">
        <v>81</v>
      </c>
      <c r="B47" s="18" t="s">
        <v>82</v>
      </c>
      <c r="C47" s="19">
        <v>543000</v>
      </c>
      <c r="D47" s="23"/>
      <c r="E47" s="23"/>
      <c r="F47" s="23">
        <v>-38000</v>
      </c>
      <c r="G47" s="19"/>
      <c r="H47" s="19">
        <f>C47+F47</f>
        <v>505000</v>
      </c>
    </row>
    <row r="48" spans="1:8" ht="30" customHeight="1">
      <c r="A48" s="7" t="s">
        <v>83</v>
      </c>
      <c r="B48" s="8" t="s">
        <v>84</v>
      </c>
      <c r="C48" s="9">
        <f aca="true" t="shared" si="18" ref="C48:H48">C49+C50</f>
        <v>162130000</v>
      </c>
      <c r="D48" s="9">
        <f t="shared" si="18"/>
        <v>0</v>
      </c>
      <c r="E48" s="9">
        <f t="shared" si="18"/>
        <v>0</v>
      </c>
      <c r="F48" s="9">
        <f t="shared" si="18"/>
        <v>24252000</v>
      </c>
      <c r="G48" s="9">
        <f t="shared" si="18"/>
        <v>0</v>
      </c>
      <c r="H48" s="9">
        <f t="shared" si="18"/>
        <v>186382000</v>
      </c>
    </row>
    <row r="49" spans="1:8" ht="103.5" customHeight="1">
      <c r="A49" s="16" t="s">
        <v>85</v>
      </c>
      <c r="B49" s="18" t="s">
        <v>86</v>
      </c>
      <c r="C49" s="19">
        <v>580000</v>
      </c>
      <c r="D49" s="23"/>
      <c r="E49" s="23"/>
      <c r="F49" s="23">
        <v>-320000</v>
      </c>
      <c r="G49" s="19"/>
      <c r="H49" s="19">
        <f>C49+F49</f>
        <v>260000</v>
      </c>
    </row>
    <row r="50" spans="1:8" ht="63.75" customHeight="1">
      <c r="A50" s="13" t="s">
        <v>87</v>
      </c>
      <c r="B50" s="14" t="s">
        <v>88</v>
      </c>
      <c r="C50" s="15">
        <f aca="true" t="shared" si="19" ref="C50:H50">C51+C52+C54+C55+C56+C57+C58+C63+C65+C67+C68+C69+C70+C71+C72+C59</f>
        <v>161550000</v>
      </c>
      <c r="D50" s="15">
        <f t="shared" si="19"/>
        <v>0</v>
      </c>
      <c r="E50" s="15">
        <f t="shared" si="19"/>
        <v>0</v>
      </c>
      <c r="F50" s="15">
        <f t="shared" si="19"/>
        <v>24572000</v>
      </c>
      <c r="G50" s="15">
        <f t="shared" si="19"/>
        <v>0</v>
      </c>
      <c r="H50" s="15">
        <f t="shared" si="19"/>
        <v>186122000</v>
      </c>
    </row>
    <row r="51" spans="1:8" ht="139.5" customHeight="1">
      <c r="A51" s="16" t="s">
        <v>89</v>
      </c>
      <c r="B51" s="18" t="s">
        <v>90</v>
      </c>
      <c r="C51" s="19">
        <v>305000</v>
      </c>
      <c r="D51" s="23"/>
      <c r="E51" s="23"/>
      <c r="F51" s="23">
        <v>213000</v>
      </c>
      <c r="G51" s="19"/>
      <c r="H51" s="19">
        <f>C51+F51</f>
        <v>518000</v>
      </c>
    </row>
    <row r="52" spans="1:8" ht="58.5" customHeight="1">
      <c r="A52" s="16" t="s">
        <v>91</v>
      </c>
      <c r="B52" s="18" t="s">
        <v>92</v>
      </c>
      <c r="C52" s="19">
        <v>98772000</v>
      </c>
      <c r="D52" s="23"/>
      <c r="E52" s="23"/>
      <c r="F52" s="23">
        <v>12884000</v>
      </c>
      <c r="G52" s="19"/>
      <c r="H52" s="19">
        <f>C52+F52</f>
        <v>111656000</v>
      </c>
    </row>
    <row r="53" spans="1:8" ht="93.75">
      <c r="A53" s="13" t="s">
        <v>93</v>
      </c>
      <c r="B53" s="14" t="s">
        <v>94</v>
      </c>
      <c r="C53" s="50">
        <f aca="true" t="shared" si="20" ref="C53:H53">C54</f>
        <v>43510000</v>
      </c>
      <c r="D53" s="50">
        <f t="shared" si="20"/>
        <v>0</v>
      </c>
      <c r="E53" s="50">
        <f t="shared" si="20"/>
        <v>0</v>
      </c>
      <c r="F53" s="50">
        <f t="shared" si="20"/>
        <v>-282750</v>
      </c>
      <c r="G53" s="50">
        <f t="shared" si="20"/>
        <v>0</v>
      </c>
      <c r="H53" s="50">
        <f t="shared" si="20"/>
        <v>43227250</v>
      </c>
    </row>
    <row r="54" spans="1:8" ht="124.5" customHeight="1">
      <c r="A54" s="16" t="s">
        <v>95</v>
      </c>
      <c r="B54" s="18" t="s">
        <v>96</v>
      </c>
      <c r="C54" s="19">
        <v>43510000</v>
      </c>
      <c r="D54" s="23"/>
      <c r="E54" s="23"/>
      <c r="F54" s="23">
        <v>-282750</v>
      </c>
      <c r="G54" s="19"/>
      <c r="H54" s="19">
        <f>C54+F54</f>
        <v>43227250</v>
      </c>
    </row>
    <row r="55" spans="1:8" ht="45.75" customHeight="1">
      <c r="A55" s="16" t="s">
        <v>97</v>
      </c>
      <c r="B55" s="18" t="s">
        <v>98</v>
      </c>
      <c r="C55" s="19">
        <v>1041000</v>
      </c>
      <c r="D55" s="23"/>
      <c r="E55" s="23"/>
      <c r="F55" s="23">
        <v>2989000</v>
      </c>
      <c r="G55" s="19"/>
      <c r="H55" s="19">
        <f>C55+F55</f>
        <v>4030000</v>
      </c>
    </row>
    <row r="56" spans="1:8" ht="122.25" customHeight="1">
      <c r="A56" s="16" t="s">
        <v>99</v>
      </c>
      <c r="B56" s="18" t="s">
        <v>100</v>
      </c>
      <c r="C56" s="19">
        <v>146000</v>
      </c>
      <c r="D56" s="23"/>
      <c r="E56" s="23"/>
      <c r="F56" s="23">
        <v>-46000</v>
      </c>
      <c r="G56" s="19"/>
      <c r="H56" s="19">
        <f>C56+F56</f>
        <v>100000</v>
      </c>
    </row>
    <row r="57" spans="1:8" ht="61.5" customHeight="1">
      <c r="A57" s="16" t="s">
        <v>101</v>
      </c>
      <c r="B57" s="22" t="s">
        <v>102</v>
      </c>
      <c r="C57" s="19">
        <v>106000</v>
      </c>
      <c r="D57" s="23"/>
      <c r="E57" s="23"/>
      <c r="F57" s="23">
        <v>-86000</v>
      </c>
      <c r="G57" s="19"/>
      <c r="H57" s="19">
        <f>C57+F57</f>
        <v>20000</v>
      </c>
    </row>
    <row r="58" spans="1:8" ht="177" customHeight="1">
      <c r="A58" s="16" t="s">
        <v>103</v>
      </c>
      <c r="B58" s="22" t="s">
        <v>531</v>
      </c>
      <c r="C58" s="19">
        <v>10000</v>
      </c>
      <c r="D58" s="19"/>
      <c r="E58" s="19"/>
      <c r="F58" s="19"/>
      <c r="G58" s="19"/>
      <c r="H58" s="19">
        <f>C58+F58</f>
        <v>10000</v>
      </c>
    </row>
    <row r="59" spans="1:8" ht="120.75" customHeight="1">
      <c r="A59" s="13" t="s">
        <v>104</v>
      </c>
      <c r="B59" s="14" t="s">
        <v>105</v>
      </c>
      <c r="C59" s="15">
        <f aca="true" t="shared" si="21" ref="C59:H59">C60+C61</f>
        <v>15000000</v>
      </c>
      <c r="D59" s="15">
        <f t="shared" si="21"/>
        <v>0</v>
      </c>
      <c r="E59" s="15">
        <f t="shared" si="21"/>
        <v>0</v>
      </c>
      <c r="F59" s="15">
        <f t="shared" si="21"/>
        <v>9570000</v>
      </c>
      <c r="G59" s="15">
        <f t="shared" si="21"/>
        <v>0</v>
      </c>
      <c r="H59" s="15">
        <f t="shared" si="21"/>
        <v>24570000</v>
      </c>
    </row>
    <row r="60" spans="1:8" ht="139.5" customHeight="1">
      <c r="A60" s="42" t="s">
        <v>567</v>
      </c>
      <c r="B60" s="18" t="s">
        <v>568</v>
      </c>
      <c r="C60" s="19"/>
      <c r="D60" s="23"/>
      <c r="E60" s="23"/>
      <c r="F60" s="23">
        <v>9570000</v>
      </c>
      <c r="G60" s="19"/>
      <c r="H60" s="19">
        <f>F60</f>
        <v>9570000</v>
      </c>
    </row>
    <row r="61" spans="1:8" ht="275.25" customHeight="1">
      <c r="A61" s="16" t="s">
        <v>106</v>
      </c>
      <c r="B61" s="18" t="s">
        <v>107</v>
      </c>
      <c r="C61" s="19">
        <v>15000000</v>
      </c>
      <c r="D61" s="19"/>
      <c r="E61" s="19"/>
      <c r="F61" s="19"/>
      <c r="G61" s="19"/>
      <c r="H61" s="19">
        <f>C61</f>
        <v>15000000</v>
      </c>
    </row>
    <row r="62" spans="1:8" ht="93.75">
      <c r="A62" s="13" t="s">
        <v>108</v>
      </c>
      <c r="B62" s="14" t="s">
        <v>109</v>
      </c>
      <c r="C62" s="15">
        <f aca="true" t="shared" si="22" ref="C62:H62">C63</f>
        <v>985000</v>
      </c>
      <c r="D62" s="15">
        <f t="shared" si="22"/>
        <v>0</v>
      </c>
      <c r="E62" s="15">
        <f t="shared" si="22"/>
        <v>0</v>
      </c>
      <c r="F62" s="15">
        <f t="shared" si="22"/>
        <v>-535000</v>
      </c>
      <c r="G62" s="15">
        <f t="shared" si="22"/>
        <v>0</v>
      </c>
      <c r="H62" s="15">
        <f t="shared" si="22"/>
        <v>450000</v>
      </c>
    </row>
    <row r="63" spans="1:8" ht="138.75" customHeight="1">
      <c r="A63" s="16" t="s">
        <v>110</v>
      </c>
      <c r="B63" s="18" t="s">
        <v>111</v>
      </c>
      <c r="C63" s="19">
        <v>985000</v>
      </c>
      <c r="D63" s="23"/>
      <c r="E63" s="23"/>
      <c r="F63" s="23">
        <v>-535000</v>
      </c>
      <c r="G63" s="19"/>
      <c r="H63" s="19">
        <f>C63+F63</f>
        <v>450000</v>
      </c>
    </row>
    <row r="64" spans="1:8" ht="56.25">
      <c r="A64" s="13" t="s">
        <v>112</v>
      </c>
      <c r="B64" s="14" t="s">
        <v>113</v>
      </c>
      <c r="C64" s="15">
        <f aca="true" t="shared" si="23" ref="C64:H64">C65</f>
        <v>245000</v>
      </c>
      <c r="D64" s="15">
        <f t="shared" si="23"/>
        <v>0</v>
      </c>
      <c r="E64" s="15">
        <f t="shared" si="23"/>
        <v>0</v>
      </c>
      <c r="F64" s="15">
        <f t="shared" si="23"/>
        <v>0</v>
      </c>
      <c r="G64" s="15">
        <f t="shared" si="23"/>
        <v>0</v>
      </c>
      <c r="H64" s="15">
        <f t="shared" si="23"/>
        <v>245000</v>
      </c>
    </row>
    <row r="65" spans="1:8" ht="121.5" customHeight="1">
      <c r="A65" s="16" t="s">
        <v>114</v>
      </c>
      <c r="B65" s="18" t="s">
        <v>115</v>
      </c>
      <c r="C65" s="19">
        <v>245000</v>
      </c>
      <c r="D65" s="19"/>
      <c r="E65" s="19"/>
      <c r="F65" s="19"/>
      <c r="G65" s="19"/>
      <c r="H65" s="19">
        <f>C65</f>
        <v>245000</v>
      </c>
    </row>
    <row r="66" spans="1:8" ht="104.25" customHeight="1">
      <c r="A66" s="119" t="s">
        <v>529</v>
      </c>
      <c r="B66" s="120" t="s">
        <v>687</v>
      </c>
      <c r="C66" s="121">
        <f aca="true" t="shared" si="24" ref="C66:H66">C67</f>
        <v>100000</v>
      </c>
      <c r="D66" s="121">
        <f t="shared" si="24"/>
        <v>0</v>
      </c>
      <c r="E66" s="121">
        <f t="shared" si="24"/>
        <v>0</v>
      </c>
      <c r="F66" s="121">
        <f t="shared" si="24"/>
        <v>0</v>
      </c>
      <c r="G66" s="121">
        <f t="shared" si="24"/>
        <v>0</v>
      </c>
      <c r="H66" s="121">
        <f t="shared" si="24"/>
        <v>100000</v>
      </c>
    </row>
    <row r="67" spans="1:8" ht="143.25" customHeight="1">
      <c r="A67" s="16" t="s">
        <v>116</v>
      </c>
      <c r="B67" s="18" t="s">
        <v>117</v>
      </c>
      <c r="C67" s="19">
        <v>100000</v>
      </c>
      <c r="D67" s="19"/>
      <c r="E67" s="19"/>
      <c r="F67" s="19"/>
      <c r="G67" s="19"/>
      <c r="H67" s="19">
        <f>C67</f>
        <v>100000</v>
      </c>
    </row>
    <row r="68" spans="1:8" ht="75">
      <c r="A68" s="16" t="s">
        <v>118</v>
      </c>
      <c r="B68" s="18" t="s">
        <v>119</v>
      </c>
      <c r="C68" s="19"/>
      <c r="D68" s="23"/>
      <c r="E68" s="23"/>
      <c r="F68" s="23">
        <v>5000</v>
      </c>
      <c r="G68" s="19"/>
      <c r="H68" s="19">
        <f>F68</f>
        <v>5000</v>
      </c>
    </row>
    <row r="69" spans="1:8" ht="56.25">
      <c r="A69" s="16" t="s">
        <v>120</v>
      </c>
      <c r="B69" s="18" t="s">
        <v>121</v>
      </c>
      <c r="C69" s="19">
        <v>50000</v>
      </c>
      <c r="D69" s="23"/>
      <c r="E69" s="23"/>
      <c r="F69" s="23"/>
      <c r="G69" s="19"/>
      <c r="H69" s="19">
        <f>C69</f>
        <v>50000</v>
      </c>
    </row>
    <row r="70" spans="1:8" ht="122.25" customHeight="1">
      <c r="A70" s="16" t="s">
        <v>122</v>
      </c>
      <c r="B70" s="18" t="s">
        <v>123</v>
      </c>
      <c r="C70" s="19">
        <v>895000</v>
      </c>
      <c r="D70" s="23"/>
      <c r="E70" s="23"/>
      <c r="F70" s="23">
        <v>-381750</v>
      </c>
      <c r="G70" s="19"/>
      <c r="H70" s="19">
        <f>C70+F70</f>
        <v>513250</v>
      </c>
    </row>
    <row r="71" spans="1:8" ht="138" customHeight="1">
      <c r="A71" s="16" t="s">
        <v>124</v>
      </c>
      <c r="B71" s="18" t="s">
        <v>125</v>
      </c>
      <c r="C71" s="19">
        <v>60000</v>
      </c>
      <c r="D71" s="23"/>
      <c r="E71" s="23"/>
      <c r="F71" s="23">
        <v>67500</v>
      </c>
      <c r="G71" s="19"/>
      <c r="H71" s="19">
        <f>C71+F71</f>
        <v>127500</v>
      </c>
    </row>
    <row r="72" spans="1:8" ht="96.75" customHeight="1">
      <c r="A72" s="16" t="s">
        <v>126</v>
      </c>
      <c r="B72" s="22" t="s">
        <v>127</v>
      </c>
      <c r="C72" s="19">
        <v>325000</v>
      </c>
      <c r="D72" s="23"/>
      <c r="E72" s="23"/>
      <c r="F72" s="23">
        <v>175000</v>
      </c>
      <c r="G72" s="19"/>
      <c r="H72" s="19">
        <f>C72+F72</f>
        <v>500000</v>
      </c>
    </row>
    <row r="73" spans="1:8" ht="61.5" customHeight="1">
      <c r="A73" s="7" t="s">
        <v>128</v>
      </c>
      <c r="B73" s="8" t="s">
        <v>129</v>
      </c>
      <c r="C73" s="9">
        <f aca="true" t="shared" si="25" ref="C73:H73">C74+C76+C78+C87+C90</f>
        <v>155166000</v>
      </c>
      <c r="D73" s="9">
        <f t="shared" si="25"/>
        <v>0</v>
      </c>
      <c r="E73" s="9">
        <f t="shared" si="25"/>
        <v>1705000</v>
      </c>
      <c r="F73" s="9">
        <f t="shared" si="25"/>
        <v>37223395</v>
      </c>
      <c r="G73" s="9">
        <f t="shared" si="25"/>
        <v>0</v>
      </c>
      <c r="H73" s="9">
        <f t="shared" si="25"/>
        <v>194094395</v>
      </c>
    </row>
    <row r="74" spans="1:8" ht="118.5" customHeight="1">
      <c r="A74" s="13" t="s">
        <v>130</v>
      </c>
      <c r="B74" s="14" t="s">
        <v>131</v>
      </c>
      <c r="C74" s="15">
        <f aca="true" t="shared" si="26" ref="C74:H74">C75</f>
        <v>23821000</v>
      </c>
      <c r="D74" s="15">
        <f t="shared" si="26"/>
        <v>0</v>
      </c>
      <c r="E74" s="15">
        <f t="shared" si="26"/>
        <v>0</v>
      </c>
      <c r="F74" s="15">
        <f t="shared" si="26"/>
        <v>30256000</v>
      </c>
      <c r="G74" s="15">
        <f t="shared" si="26"/>
        <v>0</v>
      </c>
      <c r="H74" s="15">
        <f t="shared" si="26"/>
        <v>54077000</v>
      </c>
    </row>
    <row r="75" spans="1:8" ht="84" customHeight="1">
      <c r="A75" s="16" t="s">
        <v>132</v>
      </c>
      <c r="B75" s="18" t="s">
        <v>133</v>
      </c>
      <c r="C75" s="19">
        <v>23821000</v>
      </c>
      <c r="D75" s="23"/>
      <c r="E75" s="23"/>
      <c r="F75" s="23">
        <v>30256000</v>
      </c>
      <c r="G75" s="19"/>
      <c r="H75" s="19">
        <f>C75+F75</f>
        <v>54077000</v>
      </c>
    </row>
    <row r="76" spans="1:8" ht="37.5">
      <c r="A76" s="13" t="s">
        <v>134</v>
      </c>
      <c r="B76" s="14" t="s">
        <v>135</v>
      </c>
      <c r="C76" s="15">
        <f aca="true" t="shared" si="27" ref="C76:H76">C77</f>
        <v>73000</v>
      </c>
      <c r="D76" s="15">
        <f t="shared" si="27"/>
        <v>0</v>
      </c>
      <c r="E76" s="15">
        <f t="shared" si="27"/>
        <v>0</v>
      </c>
      <c r="F76" s="15">
        <f t="shared" si="27"/>
        <v>-64605</v>
      </c>
      <c r="G76" s="15">
        <f t="shared" si="27"/>
        <v>0</v>
      </c>
      <c r="H76" s="15">
        <f t="shared" si="27"/>
        <v>8395</v>
      </c>
    </row>
    <row r="77" spans="1:8" ht="62.25" customHeight="1">
      <c r="A77" s="16" t="s">
        <v>136</v>
      </c>
      <c r="B77" s="18" t="s">
        <v>137</v>
      </c>
      <c r="C77" s="19">
        <v>73000</v>
      </c>
      <c r="D77" s="23"/>
      <c r="E77" s="23"/>
      <c r="F77" s="23">
        <v>-64605</v>
      </c>
      <c r="G77" s="19"/>
      <c r="H77" s="19">
        <f>C77+F77</f>
        <v>8395</v>
      </c>
    </row>
    <row r="78" spans="1:8" ht="131.25">
      <c r="A78" s="10" t="s">
        <v>138</v>
      </c>
      <c r="B78" s="11" t="s">
        <v>139</v>
      </c>
      <c r="C78" s="12">
        <f aca="true" t="shared" si="28" ref="C78:H78">C79+C81+C83+C85</f>
        <v>129584000</v>
      </c>
      <c r="D78" s="12">
        <f t="shared" si="28"/>
        <v>0</v>
      </c>
      <c r="E78" s="12">
        <f t="shared" si="28"/>
        <v>0</v>
      </c>
      <c r="F78" s="12">
        <f t="shared" si="28"/>
        <v>594000</v>
      </c>
      <c r="G78" s="12">
        <f t="shared" si="28"/>
        <v>0</v>
      </c>
      <c r="H78" s="12">
        <f t="shared" si="28"/>
        <v>130178000</v>
      </c>
    </row>
    <row r="79" spans="1:8" ht="122.25" customHeight="1">
      <c r="A79" s="13" t="s">
        <v>140</v>
      </c>
      <c r="B79" s="14" t="s">
        <v>141</v>
      </c>
      <c r="C79" s="15">
        <f aca="true" t="shared" si="29" ref="C79:H79">C80</f>
        <v>120000000</v>
      </c>
      <c r="D79" s="15">
        <f t="shared" si="29"/>
        <v>0</v>
      </c>
      <c r="E79" s="15">
        <f t="shared" si="29"/>
        <v>0</v>
      </c>
      <c r="F79" s="15">
        <f t="shared" si="29"/>
        <v>-24073000</v>
      </c>
      <c r="G79" s="15">
        <f t="shared" si="29"/>
        <v>0</v>
      </c>
      <c r="H79" s="15">
        <f t="shared" si="29"/>
        <v>95927000</v>
      </c>
    </row>
    <row r="80" spans="1:8" ht="123" customHeight="1">
      <c r="A80" s="16" t="s">
        <v>142</v>
      </c>
      <c r="B80" s="18" t="s">
        <v>143</v>
      </c>
      <c r="C80" s="19">
        <v>120000000</v>
      </c>
      <c r="D80" s="23"/>
      <c r="E80" s="23"/>
      <c r="F80" s="23">
        <v>-24073000</v>
      </c>
      <c r="G80" s="19"/>
      <c r="H80" s="19">
        <f>C80+F80</f>
        <v>95927000</v>
      </c>
    </row>
    <row r="81" spans="1:8" s="133" customFormat="1" ht="155.25" customHeight="1">
      <c r="A81" s="13" t="s">
        <v>573</v>
      </c>
      <c r="B81" s="139" t="s">
        <v>578</v>
      </c>
      <c r="C81" s="121">
        <f aca="true" t="shared" si="30" ref="C81:H81">C82</f>
        <v>0</v>
      </c>
      <c r="D81" s="121">
        <f t="shared" si="30"/>
        <v>0</v>
      </c>
      <c r="E81" s="121">
        <f t="shared" si="30"/>
        <v>0</v>
      </c>
      <c r="F81" s="121">
        <f t="shared" si="30"/>
        <v>11294000</v>
      </c>
      <c r="G81" s="121">
        <f t="shared" si="30"/>
        <v>0</v>
      </c>
      <c r="H81" s="121">
        <f t="shared" si="30"/>
        <v>11294000</v>
      </c>
    </row>
    <row r="82" spans="1:8" ht="182.25" customHeight="1">
      <c r="A82" s="16" t="s">
        <v>574</v>
      </c>
      <c r="B82" s="18" t="s">
        <v>577</v>
      </c>
      <c r="C82" s="19"/>
      <c r="D82" s="23"/>
      <c r="E82" s="23"/>
      <c r="F82" s="23">
        <v>11294000</v>
      </c>
      <c r="G82" s="19"/>
      <c r="H82" s="19">
        <f>F82</f>
        <v>11294000</v>
      </c>
    </row>
    <row r="83" spans="1:8" s="133" customFormat="1" ht="123" customHeight="1">
      <c r="A83" s="119" t="s">
        <v>144</v>
      </c>
      <c r="B83" s="120" t="s">
        <v>145</v>
      </c>
      <c r="C83" s="121">
        <f aca="true" t="shared" si="31" ref="C83:H83">C84</f>
        <v>3586000</v>
      </c>
      <c r="D83" s="121">
        <f t="shared" si="31"/>
        <v>0</v>
      </c>
      <c r="E83" s="121">
        <f t="shared" si="31"/>
        <v>0</v>
      </c>
      <c r="F83" s="121">
        <f t="shared" si="31"/>
        <v>132000</v>
      </c>
      <c r="G83" s="121">
        <f t="shared" si="31"/>
        <v>0</v>
      </c>
      <c r="H83" s="121">
        <f t="shared" si="31"/>
        <v>3718000</v>
      </c>
    </row>
    <row r="84" spans="1:8" ht="123" customHeight="1">
      <c r="A84" s="16" t="s">
        <v>575</v>
      </c>
      <c r="B84" s="18" t="s">
        <v>576</v>
      </c>
      <c r="C84" s="19">
        <v>3586000</v>
      </c>
      <c r="D84" s="23"/>
      <c r="E84" s="23"/>
      <c r="F84" s="23">
        <v>132000</v>
      </c>
      <c r="G84" s="19"/>
      <c r="H84" s="19">
        <f>C84+F84</f>
        <v>3718000</v>
      </c>
    </row>
    <row r="85" spans="1:8" ht="63.75" customHeight="1">
      <c r="A85" s="13" t="s">
        <v>146</v>
      </c>
      <c r="B85" s="14" t="s">
        <v>147</v>
      </c>
      <c r="C85" s="15">
        <f aca="true" t="shared" si="32" ref="C85:H85">C86</f>
        <v>5998000</v>
      </c>
      <c r="D85" s="15">
        <f t="shared" si="32"/>
        <v>0</v>
      </c>
      <c r="E85" s="15">
        <f t="shared" si="32"/>
        <v>0</v>
      </c>
      <c r="F85" s="15">
        <f t="shared" si="32"/>
        <v>13241000</v>
      </c>
      <c r="G85" s="15">
        <f t="shared" si="32"/>
        <v>0</v>
      </c>
      <c r="H85" s="15">
        <f t="shared" si="32"/>
        <v>19239000</v>
      </c>
    </row>
    <row r="86" spans="1:8" ht="63.75" customHeight="1">
      <c r="A86" s="16" t="s">
        <v>148</v>
      </c>
      <c r="B86" s="18" t="s">
        <v>149</v>
      </c>
      <c r="C86" s="19">
        <v>5998000</v>
      </c>
      <c r="D86" s="23"/>
      <c r="E86" s="23"/>
      <c r="F86" s="23">
        <v>13241000</v>
      </c>
      <c r="G86" s="19"/>
      <c r="H86" s="19">
        <f>C86+F86</f>
        <v>19239000</v>
      </c>
    </row>
    <row r="87" spans="1:8" ht="47.25" customHeight="1">
      <c r="A87" s="10" t="s">
        <v>150</v>
      </c>
      <c r="B87" s="11" t="s">
        <v>151</v>
      </c>
      <c r="C87" s="12">
        <f>C88</f>
        <v>1293000</v>
      </c>
      <c r="D87" s="12">
        <f aca="true" t="shared" si="33" ref="D87:F88">D88</f>
        <v>0</v>
      </c>
      <c r="E87" s="12">
        <f t="shared" si="33"/>
        <v>0</v>
      </c>
      <c r="F87" s="12">
        <f t="shared" si="33"/>
        <v>4538000</v>
      </c>
      <c r="G87" s="12">
        <f>G88</f>
        <v>0</v>
      </c>
      <c r="H87" s="12">
        <f>H88</f>
        <v>5831000</v>
      </c>
    </row>
    <row r="88" spans="1:8" ht="79.5" customHeight="1">
      <c r="A88" s="13" t="s">
        <v>152</v>
      </c>
      <c r="B88" s="14" t="s">
        <v>153</v>
      </c>
      <c r="C88" s="15">
        <f>C89</f>
        <v>1293000</v>
      </c>
      <c r="D88" s="15">
        <f t="shared" si="33"/>
        <v>0</v>
      </c>
      <c r="E88" s="15">
        <f t="shared" si="33"/>
        <v>0</v>
      </c>
      <c r="F88" s="15">
        <f t="shared" si="33"/>
        <v>4538000</v>
      </c>
      <c r="G88" s="15">
        <f>G89</f>
        <v>0</v>
      </c>
      <c r="H88" s="15">
        <f>H89</f>
        <v>5831000</v>
      </c>
    </row>
    <row r="89" spans="1:8" ht="83.25" customHeight="1">
      <c r="A89" s="16" t="s">
        <v>154</v>
      </c>
      <c r="B89" s="18" t="s">
        <v>155</v>
      </c>
      <c r="C89" s="19">
        <v>1293000</v>
      </c>
      <c r="D89" s="23"/>
      <c r="E89" s="23"/>
      <c r="F89" s="23">
        <v>4538000</v>
      </c>
      <c r="G89" s="19"/>
      <c r="H89" s="19">
        <f>C89+F89</f>
        <v>5831000</v>
      </c>
    </row>
    <row r="90" spans="1:8" ht="122.25" customHeight="1">
      <c r="A90" s="10" t="s">
        <v>156</v>
      </c>
      <c r="B90" s="11" t="s">
        <v>157</v>
      </c>
      <c r="C90" s="12">
        <f aca="true" t="shared" si="34" ref="C90:H91">C91</f>
        <v>395000</v>
      </c>
      <c r="D90" s="12">
        <f t="shared" si="34"/>
        <v>0</v>
      </c>
      <c r="E90" s="12">
        <f t="shared" si="34"/>
        <v>1705000</v>
      </c>
      <c r="F90" s="12">
        <f t="shared" si="34"/>
        <v>1900000</v>
      </c>
      <c r="G90" s="12">
        <f t="shared" si="34"/>
        <v>0</v>
      </c>
      <c r="H90" s="12">
        <f t="shared" si="34"/>
        <v>4000000</v>
      </c>
    </row>
    <row r="91" spans="1:8" ht="124.5" customHeight="1">
      <c r="A91" s="13" t="s">
        <v>158</v>
      </c>
      <c r="B91" s="14" t="s">
        <v>159</v>
      </c>
      <c r="C91" s="15">
        <f t="shared" si="34"/>
        <v>395000</v>
      </c>
      <c r="D91" s="15">
        <f t="shared" si="34"/>
        <v>0</v>
      </c>
      <c r="E91" s="15">
        <f t="shared" si="34"/>
        <v>1705000</v>
      </c>
      <c r="F91" s="15">
        <f t="shared" si="34"/>
        <v>1900000</v>
      </c>
      <c r="G91" s="15">
        <f t="shared" si="34"/>
        <v>0</v>
      </c>
      <c r="H91" s="15">
        <f t="shared" si="34"/>
        <v>4000000</v>
      </c>
    </row>
    <row r="92" spans="1:8" ht="141" customHeight="1">
      <c r="A92" s="16" t="s">
        <v>160</v>
      </c>
      <c r="B92" s="18" t="s">
        <v>161</v>
      </c>
      <c r="C92" s="19">
        <v>395000</v>
      </c>
      <c r="D92" s="23"/>
      <c r="E92" s="23">
        <v>1705000</v>
      </c>
      <c r="F92" s="23">
        <v>1900000</v>
      </c>
      <c r="G92" s="19"/>
      <c r="H92" s="19">
        <f>C92+E92+F92</f>
        <v>4000000</v>
      </c>
    </row>
    <row r="93" spans="1:8" ht="42.75" customHeight="1">
      <c r="A93" s="7" t="s">
        <v>162</v>
      </c>
      <c r="B93" s="8" t="s">
        <v>163</v>
      </c>
      <c r="C93" s="9">
        <f aca="true" t="shared" si="35" ref="C93:H93">C94+C98+C104</f>
        <v>135536000</v>
      </c>
      <c r="D93" s="9">
        <f t="shared" si="35"/>
        <v>0</v>
      </c>
      <c r="E93" s="9">
        <f t="shared" si="35"/>
        <v>30000000</v>
      </c>
      <c r="F93" s="9">
        <f t="shared" si="35"/>
        <v>21830000</v>
      </c>
      <c r="G93" s="9">
        <f t="shared" si="35"/>
        <v>0</v>
      </c>
      <c r="H93" s="9">
        <f t="shared" si="35"/>
        <v>187366000</v>
      </c>
    </row>
    <row r="94" spans="1:8" ht="42" customHeight="1">
      <c r="A94" s="13" t="s">
        <v>164</v>
      </c>
      <c r="B94" s="14" t="s">
        <v>165</v>
      </c>
      <c r="C94" s="15">
        <f aca="true" t="shared" si="36" ref="C94:H94">C95+C96+C97</f>
        <v>25275000</v>
      </c>
      <c r="D94" s="15">
        <f t="shared" si="36"/>
        <v>0</v>
      </c>
      <c r="E94" s="15">
        <f t="shared" si="36"/>
        <v>0</v>
      </c>
      <c r="F94" s="15">
        <f t="shared" si="36"/>
        <v>0</v>
      </c>
      <c r="G94" s="15">
        <f t="shared" si="36"/>
        <v>0</v>
      </c>
      <c r="H94" s="15">
        <f t="shared" si="36"/>
        <v>25275000</v>
      </c>
    </row>
    <row r="95" spans="1:8" ht="42.75" customHeight="1">
      <c r="A95" s="16" t="s">
        <v>166</v>
      </c>
      <c r="B95" s="18" t="s">
        <v>167</v>
      </c>
      <c r="C95" s="19">
        <v>2299000</v>
      </c>
      <c r="D95" s="23"/>
      <c r="E95" s="23"/>
      <c r="F95" s="23">
        <v>6701000</v>
      </c>
      <c r="G95" s="19"/>
      <c r="H95" s="19">
        <f>C95+F95</f>
        <v>9000000</v>
      </c>
    </row>
    <row r="96" spans="1:8" ht="42.75" customHeight="1">
      <c r="A96" s="16" t="s">
        <v>168</v>
      </c>
      <c r="B96" s="18" t="s">
        <v>169</v>
      </c>
      <c r="C96" s="19">
        <v>1913000</v>
      </c>
      <c r="D96" s="23"/>
      <c r="E96" s="23"/>
      <c r="F96" s="23">
        <v>587000</v>
      </c>
      <c r="G96" s="19"/>
      <c r="H96" s="19">
        <f>C96+F96</f>
        <v>2500000</v>
      </c>
    </row>
    <row r="97" spans="1:8" ht="25.5" customHeight="1">
      <c r="A97" s="16" t="s">
        <v>533</v>
      </c>
      <c r="B97" s="18" t="s">
        <v>534</v>
      </c>
      <c r="C97" s="19">
        <v>21063000</v>
      </c>
      <c r="D97" s="23"/>
      <c r="E97" s="23"/>
      <c r="F97" s="23">
        <v>-7288000</v>
      </c>
      <c r="G97" s="19"/>
      <c r="H97" s="19">
        <f>C97+F97</f>
        <v>13775000</v>
      </c>
    </row>
    <row r="98" spans="1:8" ht="24.75" customHeight="1">
      <c r="A98" s="10" t="s">
        <v>170</v>
      </c>
      <c r="B98" s="11" t="s">
        <v>171</v>
      </c>
      <c r="C98" s="12">
        <f aca="true" t="shared" si="37" ref="C98:H98">C99+C101+C102</f>
        <v>10474000</v>
      </c>
      <c r="D98" s="12">
        <f t="shared" si="37"/>
        <v>0</v>
      </c>
      <c r="E98" s="12">
        <f t="shared" si="37"/>
        <v>0</v>
      </c>
      <c r="F98" s="12">
        <f t="shared" si="37"/>
        <v>69000</v>
      </c>
      <c r="G98" s="12">
        <f t="shared" si="37"/>
        <v>0</v>
      </c>
      <c r="H98" s="12">
        <f t="shared" si="37"/>
        <v>10543000</v>
      </c>
    </row>
    <row r="99" spans="1:8" ht="81.75" customHeight="1">
      <c r="A99" s="13" t="s">
        <v>172</v>
      </c>
      <c r="B99" s="14" t="s">
        <v>173</v>
      </c>
      <c r="C99" s="15">
        <f aca="true" t="shared" si="38" ref="C99:H99">C100</f>
        <v>10000000</v>
      </c>
      <c r="D99" s="15">
        <f t="shared" si="38"/>
        <v>0</v>
      </c>
      <c r="E99" s="15">
        <f t="shared" si="38"/>
        <v>0</v>
      </c>
      <c r="F99" s="15">
        <f t="shared" si="38"/>
        <v>0</v>
      </c>
      <c r="G99" s="15">
        <f t="shared" si="38"/>
        <v>0</v>
      </c>
      <c r="H99" s="15">
        <f t="shared" si="38"/>
        <v>10000000</v>
      </c>
    </row>
    <row r="100" spans="1:8" ht="102" customHeight="1">
      <c r="A100" s="16" t="s">
        <v>174</v>
      </c>
      <c r="B100" s="18" t="s">
        <v>175</v>
      </c>
      <c r="C100" s="19">
        <v>10000000</v>
      </c>
      <c r="D100" s="19"/>
      <c r="E100" s="19"/>
      <c r="F100" s="19"/>
      <c r="G100" s="19"/>
      <c r="H100" s="19">
        <f>C100</f>
        <v>10000000</v>
      </c>
    </row>
    <row r="101" spans="1:8" ht="56.25">
      <c r="A101" s="16" t="s">
        <v>176</v>
      </c>
      <c r="B101" s="18" t="s">
        <v>177</v>
      </c>
      <c r="C101" s="19">
        <v>74000</v>
      </c>
      <c r="D101" s="23"/>
      <c r="E101" s="23"/>
      <c r="F101" s="23">
        <v>-11000</v>
      </c>
      <c r="G101" s="19"/>
      <c r="H101" s="19">
        <f>C101+F101</f>
        <v>63000</v>
      </c>
    </row>
    <row r="102" spans="1:8" ht="84.75" customHeight="1">
      <c r="A102" s="13" t="s">
        <v>178</v>
      </c>
      <c r="B102" s="14" t="s">
        <v>179</v>
      </c>
      <c r="C102" s="15">
        <f aca="true" t="shared" si="39" ref="C102:H102">C103</f>
        <v>400000</v>
      </c>
      <c r="D102" s="15">
        <f t="shared" si="39"/>
        <v>0</v>
      </c>
      <c r="E102" s="15">
        <f t="shared" si="39"/>
        <v>0</v>
      </c>
      <c r="F102" s="15">
        <f t="shared" si="39"/>
        <v>80000</v>
      </c>
      <c r="G102" s="15">
        <f t="shared" si="39"/>
        <v>0</v>
      </c>
      <c r="H102" s="15">
        <f t="shared" si="39"/>
        <v>480000</v>
      </c>
    </row>
    <row r="103" spans="1:8" ht="93.75">
      <c r="A103" s="16" t="s">
        <v>180</v>
      </c>
      <c r="B103" s="18" t="s">
        <v>181</v>
      </c>
      <c r="C103" s="19">
        <v>400000</v>
      </c>
      <c r="D103" s="23"/>
      <c r="E103" s="23"/>
      <c r="F103" s="23">
        <v>80000</v>
      </c>
      <c r="G103" s="19"/>
      <c r="H103" s="19">
        <f>C103+F103</f>
        <v>480000</v>
      </c>
    </row>
    <row r="104" spans="1:8" ht="25.5" customHeight="1">
      <c r="A104" s="10" t="s">
        <v>182</v>
      </c>
      <c r="B104" s="11" t="s">
        <v>183</v>
      </c>
      <c r="C104" s="12">
        <f aca="true" t="shared" si="40" ref="C104:H104">C105</f>
        <v>99787000</v>
      </c>
      <c r="D104" s="12">
        <f t="shared" si="40"/>
        <v>0</v>
      </c>
      <c r="E104" s="12">
        <f t="shared" si="40"/>
        <v>30000000</v>
      </c>
      <c r="F104" s="12">
        <f t="shared" si="40"/>
        <v>21761000</v>
      </c>
      <c r="G104" s="12">
        <f t="shared" si="40"/>
        <v>0</v>
      </c>
      <c r="H104" s="12">
        <f t="shared" si="40"/>
        <v>151548000</v>
      </c>
    </row>
    <row r="105" spans="1:8" ht="40.5" customHeight="1">
      <c r="A105" s="13" t="s">
        <v>184</v>
      </c>
      <c r="B105" s="14" t="s">
        <v>185</v>
      </c>
      <c r="C105" s="15">
        <f aca="true" t="shared" si="41" ref="C105:H105">C106+C107+C108</f>
        <v>99787000</v>
      </c>
      <c r="D105" s="15">
        <f t="shared" si="41"/>
        <v>0</v>
      </c>
      <c r="E105" s="15">
        <f t="shared" si="41"/>
        <v>30000000</v>
      </c>
      <c r="F105" s="15">
        <f t="shared" si="41"/>
        <v>21761000</v>
      </c>
      <c r="G105" s="15">
        <f t="shared" si="41"/>
        <v>0</v>
      </c>
      <c r="H105" s="15">
        <f t="shared" si="41"/>
        <v>151548000</v>
      </c>
    </row>
    <row r="106" spans="1:8" ht="80.25" customHeight="1">
      <c r="A106" s="16" t="s">
        <v>186</v>
      </c>
      <c r="B106" s="18" t="s">
        <v>187</v>
      </c>
      <c r="C106" s="19">
        <v>2115000</v>
      </c>
      <c r="D106" s="23"/>
      <c r="E106" s="23">
        <v>2800000</v>
      </c>
      <c r="F106" s="23">
        <v>3685000</v>
      </c>
      <c r="G106" s="19"/>
      <c r="H106" s="19">
        <f>C106+E106+F106</f>
        <v>8600000</v>
      </c>
    </row>
    <row r="107" spans="1:8" ht="62.25" customHeight="1">
      <c r="A107" s="16" t="s">
        <v>188</v>
      </c>
      <c r="B107" s="18" t="s">
        <v>189</v>
      </c>
      <c r="C107" s="19">
        <v>85208000</v>
      </c>
      <c r="D107" s="23"/>
      <c r="E107" s="23">
        <v>27200000</v>
      </c>
      <c r="F107" s="23">
        <v>19040000</v>
      </c>
      <c r="G107" s="19"/>
      <c r="H107" s="19">
        <f>C107+E107+F107</f>
        <v>131448000</v>
      </c>
    </row>
    <row r="108" spans="1:8" ht="75">
      <c r="A108" s="16" t="s">
        <v>190</v>
      </c>
      <c r="B108" s="18" t="s">
        <v>191</v>
      </c>
      <c r="C108" s="19">
        <v>12464000</v>
      </c>
      <c r="D108" s="19"/>
      <c r="E108" s="19"/>
      <c r="F108" s="19">
        <v>-964000</v>
      </c>
      <c r="G108" s="19"/>
      <c r="H108" s="19">
        <f>C108+E108+F108</f>
        <v>11500000</v>
      </c>
    </row>
    <row r="109" spans="1:8" ht="60" customHeight="1">
      <c r="A109" s="7" t="s">
        <v>192</v>
      </c>
      <c r="B109" s="8" t="s">
        <v>193</v>
      </c>
      <c r="C109" s="9">
        <f aca="true" t="shared" si="42" ref="C109:H109">C110+C120</f>
        <v>26902000</v>
      </c>
      <c r="D109" s="9">
        <f t="shared" si="42"/>
        <v>0</v>
      </c>
      <c r="E109" s="9">
        <f t="shared" si="42"/>
        <v>3603000</v>
      </c>
      <c r="F109" s="9">
        <f t="shared" si="42"/>
        <v>25339200</v>
      </c>
      <c r="G109" s="9">
        <f t="shared" si="42"/>
        <v>0</v>
      </c>
      <c r="H109" s="9">
        <f t="shared" si="42"/>
        <v>55844200</v>
      </c>
    </row>
    <row r="110" spans="1:8" ht="24.75" customHeight="1">
      <c r="A110" s="10" t="s">
        <v>194</v>
      </c>
      <c r="B110" s="11" t="s">
        <v>195</v>
      </c>
      <c r="C110" s="12">
        <f aca="true" t="shared" si="43" ref="C110:H110">C111+C112+C113+C114+C116+C118</f>
        <v>4505000</v>
      </c>
      <c r="D110" s="12">
        <f t="shared" si="43"/>
        <v>0</v>
      </c>
      <c r="E110" s="12">
        <f t="shared" si="43"/>
        <v>441750</v>
      </c>
      <c r="F110" s="12">
        <f t="shared" si="43"/>
        <v>202450</v>
      </c>
      <c r="G110" s="12">
        <f t="shared" si="43"/>
        <v>0</v>
      </c>
      <c r="H110" s="12">
        <f t="shared" si="43"/>
        <v>5149200</v>
      </c>
    </row>
    <row r="111" spans="1:8" ht="81.75" customHeight="1">
      <c r="A111" s="42" t="s">
        <v>570</v>
      </c>
      <c r="B111" s="55" t="s">
        <v>569</v>
      </c>
      <c r="C111" s="19"/>
      <c r="D111" s="23"/>
      <c r="E111" s="23"/>
      <c r="F111" s="23">
        <v>7000</v>
      </c>
      <c r="G111" s="19"/>
      <c r="H111" s="19">
        <f>F111</f>
        <v>7000</v>
      </c>
    </row>
    <row r="112" spans="1:8" ht="48" customHeight="1">
      <c r="A112" s="122" t="s">
        <v>332</v>
      </c>
      <c r="B112" s="18" t="s">
        <v>333</v>
      </c>
      <c r="C112" s="19">
        <v>200000</v>
      </c>
      <c r="D112" s="19"/>
      <c r="E112" s="19"/>
      <c r="F112" s="19"/>
      <c r="G112" s="19"/>
      <c r="H112" s="19">
        <f>C112</f>
        <v>200000</v>
      </c>
    </row>
    <row r="113" spans="1:8" ht="48" customHeight="1">
      <c r="A113" s="130" t="s">
        <v>571</v>
      </c>
      <c r="B113" s="18" t="s">
        <v>572</v>
      </c>
      <c r="C113" s="19"/>
      <c r="D113" s="23"/>
      <c r="E113" s="23"/>
      <c r="F113" s="23">
        <v>200</v>
      </c>
      <c r="G113" s="19"/>
      <c r="H113" s="19">
        <f>F113</f>
        <v>200</v>
      </c>
    </row>
    <row r="114" spans="1:8" ht="56.25">
      <c r="A114" s="13" t="s">
        <v>324</v>
      </c>
      <c r="B114" s="14" t="s">
        <v>196</v>
      </c>
      <c r="C114" s="15">
        <f aca="true" t="shared" si="44" ref="C114:H114">C115</f>
        <v>55000</v>
      </c>
      <c r="D114" s="15">
        <f t="shared" si="44"/>
        <v>0</v>
      </c>
      <c r="E114" s="15">
        <f t="shared" si="44"/>
        <v>0</v>
      </c>
      <c r="F114" s="15">
        <f t="shared" si="44"/>
        <v>0</v>
      </c>
      <c r="G114" s="15">
        <f t="shared" si="44"/>
        <v>0</v>
      </c>
      <c r="H114" s="15">
        <f t="shared" si="44"/>
        <v>55000</v>
      </c>
    </row>
    <row r="115" spans="1:8" ht="139.5" customHeight="1">
      <c r="A115" s="16" t="s">
        <v>197</v>
      </c>
      <c r="B115" s="18" t="s">
        <v>198</v>
      </c>
      <c r="C115" s="19">
        <v>55000</v>
      </c>
      <c r="D115" s="19"/>
      <c r="E115" s="19"/>
      <c r="F115" s="19"/>
      <c r="G115" s="19"/>
      <c r="H115" s="19">
        <f>C115</f>
        <v>55000</v>
      </c>
    </row>
    <row r="116" spans="1:8" ht="56.25">
      <c r="A116" s="13" t="s">
        <v>199</v>
      </c>
      <c r="B116" s="14" t="s">
        <v>200</v>
      </c>
      <c r="C116" s="15">
        <f aca="true" t="shared" si="45" ref="C116:H116">C117</f>
        <v>453000</v>
      </c>
      <c r="D116" s="15">
        <f t="shared" si="45"/>
        <v>0</v>
      </c>
      <c r="E116" s="15">
        <f t="shared" si="45"/>
        <v>0</v>
      </c>
      <c r="F116" s="15">
        <f t="shared" si="45"/>
        <v>0</v>
      </c>
      <c r="G116" s="15">
        <f t="shared" si="45"/>
        <v>0</v>
      </c>
      <c r="H116" s="15">
        <f t="shared" si="45"/>
        <v>453000</v>
      </c>
    </row>
    <row r="117" spans="1:8" ht="93.75">
      <c r="A117" s="16" t="s">
        <v>201</v>
      </c>
      <c r="B117" s="18" t="s">
        <v>202</v>
      </c>
      <c r="C117" s="19">
        <v>453000</v>
      </c>
      <c r="D117" s="19"/>
      <c r="E117" s="19"/>
      <c r="F117" s="19"/>
      <c r="G117" s="19"/>
      <c r="H117" s="19">
        <f>C117</f>
        <v>453000</v>
      </c>
    </row>
    <row r="118" spans="1:8" ht="25.5" customHeight="1">
      <c r="A118" s="13" t="s">
        <v>203</v>
      </c>
      <c r="B118" s="14" t="s">
        <v>204</v>
      </c>
      <c r="C118" s="15">
        <f aca="true" t="shared" si="46" ref="C118:H118">C119</f>
        <v>3797000</v>
      </c>
      <c r="D118" s="15">
        <f t="shared" si="46"/>
        <v>0</v>
      </c>
      <c r="E118" s="15">
        <f t="shared" si="46"/>
        <v>441750</v>
      </c>
      <c r="F118" s="15">
        <f t="shared" si="46"/>
        <v>195250</v>
      </c>
      <c r="G118" s="15">
        <f t="shared" si="46"/>
        <v>0</v>
      </c>
      <c r="H118" s="15">
        <f t="shared" si="46"/>
        <v>4434000</v>
      </c>
    </row>
    <row r="119" spans="1:8" ht="56.25">
      <c r="A119" s="16" t="s">
        <v>205</v>
      </c>
      <c r="B119" s="18" t="s">
        <v>206</v>
      </c>
      <c r="C119" s="19">
        <v>3797000</v>
      </c>
      <c r="D119" s="23"/>
      <c r="E119" s="23">
        <v>441750</v>
      </c>
      <c r="F119" s="23">
        <v>195250</v>
      </c>
      <c r="G119" s="19"/>
      <c r="H119" s="19">
        <f>C119+E119+F119</f>
        <v>4434000</v>
      </c>
    </row>
    <row r="120" spans="1:8" ht="25.5" customHeight="1">
      <c r="A120" s="10" t="s">
        <v>207</v>
      </c>
      <c r="B120" s="11" t="s">
        <v>208</v>
      </c>
      <c r="C120" s="12">
        <f aca="true" t="shared" si="47" ref="C120:H121">C121</f>
        <v>22397000</v>
      </c>
      <c r="D120" s="12">
        <f t="shared" si="47"/>
        <v>0</v>
      </c>
      <c r="E120" s="12">
        <f t="shared" si="47"/>
        <v>3161250</v>
      </c>
      <c r="F120" s="12">
        <f t="shared" si="47"/>
        <v>25136750</v>
      </c>
      <c r="G120" s="12">
        <f t="shared" si="47"/>
        <v>0</v>
      </c>
      <c r="H120" s="12">
        <f t="shared" si="47"/>
        <v>50695000</v>
      </c>
    </row>
    <row r="121" spans="1:8" ht="27" customHeight="1">
      <c r="A121" s="13" t="s">
        <v>209</v>
      </c>
      <c r="B121" s="14" t="s">
        <v>210</v>
      </c>
      <c r="C121" s="15">
        <f t="shared" si="47"/>
        <v>22397000</v>
      </c>
      <c r="D121" s="15">
        <f t="shared" si="47"/>
        <v>0</v>
      </c>
      <c r="E121" s="15">
        <f t="shared" si="47"/>
        <v>3161250</v>
      </c>
      <c r="F121" s="15">
        <f t="shared" si="47"/>
        <v>25136750</v>
      </c>
      <c r="G121" s="15">
        <f t="shared" si="47"/>
        <v>0</v>
      </c>
      <c r="H121" s="15">
        <f t="shared" si="47"/>
        <v>50695000</v>
      </c>
    </row>
    <row r="122" spans="1:8" ht="37.5">
      <c r="A122" s="16" t="s">
        <v>211</v>
      </c>
      <c r="B122" s="18" t="s">
        <v>212</v>
      </c>
      <c r="C122" s="19">
        <v>22397000</v>
      </c>
      <c r="D122" s="23"/>
      <c r="E122" s="23">
        <v>3161250</v>
      </c>
      <c r="F122" s="23">
        <v>25136750</v>
      </c>
      <c r="G122" s="19"/>
      <c r="H122" s="19">
        <f>C122+E122+F122</f>
        <v>50695000</v>
      </c>
    </row>
    <row r="123" spans="1:8" ht="44.25" customHeight="1">
      <c r="A123" s="7" t="s">
        <v>213</v>
      </c>
      <c r="B123" s="8" t="s">
        <v>214</v>
      </c>
      <c r="C123" s="9">
        <f aca="true" t="shared" si="48" ref="C123:H123">C124+C130</f>
        <v>10815400</v>
      </c>
      <c r="D123" s="9">
        <f>D124+D130</f>
        <v>0</v>
      </c>
      <c r="E123" s="9">
        <f>E124+E130</f>
        <v>3391000</v>
      </c>
      <c r="F123" s="9">
        <f>F124+F130</f>
        <v>51960</v>
      </c>
      <c r="G123" s="9">
        <f t="shared" si="48"/>
        <v>0</v>
      </c>
      <c r="H123" s="9">
        <f t="shared" si="48"/>
        <v>14258360</v>
      </c>
    </row>
    <row r="124" spans="1:8" ht="120.75" customHeight="1">
      <c r="A124" s="10" t="s">
        <v>215</v>
      </c>
      <c r="B124" s="11" t="s">
        <v>216</v>
      </c>
      <c r="C124" s="12">
        <f aca="true" t="shared" si="49" ref="C124:H124">C125+C128</f>
        <v>209400</v>
      </c>
      <c r="D124" s="12">
        <f t="shared" si="49"/>
        <v>0</v>
      </c>
      <c r="E124" s="12">
        <f t="shared" si="49"/>
        <v>3391000</v>
      </c>
      <c r="F124" s="12">
        <f t="shared" si="49"/>
        <v>51960</v>
      </c>
      <c r="G124" s="12">
        <f t="shared" si="49"/>
        <v>0</v>
      </c>
      <c r="H124" s="12">
        <f t="shared" si="49"/>
        <v>3652360</v>
      </c>
    </row>
    <row r="125" spans="1:8" ht="177" customHeight="1">
      <c r="A125" s="13" t="s">
        <v>217</v>
      </c>
      <c r="B125" s="14" t="s">
        <v>218</v>
      </c>
      <c r="C125" s="15">
        <f aca="true" t="shared" si="50" ref="C125:H125">C126+C127</f>
        <v>159400</v>
      </c>
      <c r="D125" s="15">
        <f t="shared" si="50"/>
        <v>0</v>
      </c>
      <c r="E125" s="15">
        <f t="shared" si="50"/>
        <v>3141000</v>
      </c>
      <c r="F125" s="15">
        <f t="shared" si="50"/>
        <v>51960</v>
      </c>
      <c r="G125" s="15">
        <f t="shared" si="50"/>
        <v>0</v>
      </c>
      <c r="H125" s="15">
        <f t="shared" si="50"/>
        <v>3352360</v>
      </c>
    </row>
    <row r="126" spans="1:8" ht="142.5" customHeight="1">
      <c r="A126" s="16" t="s">
        <v>579</v>
      </c>
      <c r="B126" s="18" t="s">
        <v>580</v>
      </c>
      <c r="C126" s="19"/>
      <c r="D126" s="23"/>
      <c r="E126" s="23"/>
      <c r="F126" s="23">
        <v>44205</v>
      </c>
      <c r="G126" s="19"/>
      <c r="H126" s="19">
        <f>F126</f>
        <v>44205</v>
      </c>
    </row>
    <row r="127" spans="1:8" ht="173.25" customHeight="1">
      <c r="A127" s="134" t="s">
        <v>335</v>
      </c>
      <c r="B127" s="140" t="s">
        <v>334</v>
      </c>
      <c r="C127" s="19">
        <v>159400</v>
      </c>
      <c r="D127" s="23"/>
      <c r="E127" s="23">
        <v>3141000</v>
      </c>
      <c r="F127" s="23">
        <v>7755</v>
      </c>
      <c r="G127" s="19"/>
      <c r="H127" s="19">
        <f>C127+E127+F127</f>
        <v>3308155</v>
      </c>
    </row>
    <row r="128" spans="1:8" ht="160.5" customHeight="1">
      <c r="A128" s="13" t="s">
        <v>219</v>
      </c>
      <c r="B128" s="14" t="s">
        <v>220</v>
      </c>
      <c r="C128" s="15">
        <f aca="true" t="shared" si="51" ref="C128:H128">C129</f>
        <v>50000</v>
      </c>
      <c r="D128" s="15">
        <f t="shared" si="51"/>
        <v>0</v>
      </c>
      <c r="E128" s="15">
        <f t="shared" si="51"/>
        <v>250000</v>
      </c>
      <c r="F128" s="15">
        <f t="shared" si="51"/>
        <v>0</v>
      </c>
      <c r="G128" s="15">
        <f t="shared" si="51"/>
        <v>0</v>
      </c>
      <c r="H128" s="15">
        <f t="shared" si="51"/>
        <v>300000</v>
      </c>
    </row>
    <row r="129" spans="1:8" ht="143.25" customHeight="1">
      <c r="A129" s="16" t="s">
        <v>221</v>
      </c>
      <c r="B129" s="18" t="s">
        <v>222</v>
      </c>
      <c r="C129" s="19">
        <v>50000</v>
      </c>
      <c r="D129" s="19"/>
      <c r="E129" s="19">
        <v>250000</v>
      </c>
      <c r="F129" s="19"/>
      <c r="G129" s="19"/>
      <c r="H129" s="19">
        <f>C129+E129</f>
        <v>300000</v>
      </c>
    </row>
    <row r="130" spans="1:8" ht="56.25">
      <c r="A130" s="10" t="s">
        <v>223</v>
      </c>
      <c r="B130" s="11" t="s">
        <v>224</v>
      </c>
      <c r="C130" s="12">
        <f aca="true" t="shared" si="52" ref="C130:H131">C131</f>
        <v>10606000</v>
      </c>
      <c r="D130" s="12">
        <f t="shared" si="52"/>
        <v>0</v>
      </c>
      <c r="E130" s="12">
        <f t="shared" si="52"/>
        <v>0</v>
      </c>
      <c r="F130" s="12">
        <f t="shared" si="52"/>
        <v>0</v>
      </c>
      <c r="G130" s="12">
        <f t="shared" si="52"/>
        <v>0</v>
      </c>
      <c r="H130" s="12">
        <f t="shared" si="52"/>
        <v>10606000</v>
      </c>
    </row>
    <row r="131" spans="1:8" ht="75">
      <c r="A131" s="13" t="s">
        <v>225</v>
      </c>
      <c r="B131" s="14" t="s">
        <v>226</v>
      </c>
      <c r="C131" s="15">
        <f t="shared" si="52"/>
        <v>10606000</v>
      </c>
      <c r="D131" s="15">
        <f t="shared" si="52"/>
        <v>0</v>
      </c>
      <c r="E131" s="15">
        <f t="shared" si="52"/>
        <v>0</v>
      </c>
      <c r="F131" s="15">
        <f t="shared" si="52"/>
        <v>0</v>
      </c>
      <c r="G131" s="15">
        <f t="shared" si="52"/>
        <v>0</v>
      </c>
      <c r="H131" s="15">
        <f t="shared" si="52"/>
        <v>10606000</v>
      </c>
    </row>
    <row r="132" spans="1:8" ht="102" customHeight="1">
      <c r="A132" s="16" t="s">
        <v>227</v>
      </c>
      <c r="B132" s="18" t="s">
        <v>228</v>
      </c>
      <c r="C132" s="19">
        <v>10606000</v>
      </c>
      <c r="D132" s="19"/>
      <c r="E132" s="19"/>
      <c r="F132" s="19"/>
      <c r="G132" s="19"/>
      <c r="H132" s="19">
        <f>C132</f>
        <v>10606000</v>
      </c>
    </row>
    <row r="133" spans="1:8" ht="25.5" customHeight="1">
      <c r="A133" s="7" t="s">
        <v>229</v>
      </c>
      <c r="B133" s="8" t="s">
        <v>230</v>
      </c>
      <c r="C133" s="9">
        <f aca="true" t="shared" si="53" ref="C133:H134">C134</f>
        <v>1132000</v>
      </c>
      <c r="D133" s="9">
        <f t="shared" si="53"/>
        <v>0</v>
      </c>
      <c r="E133" s="9">
        <f t="shared" si="53"/>
        <v>0</v>
      </c>
      <c r="F133" s="9">
        <f t="shared" si="53"/>
        <v>0</v>
      </c>
      <c r="G133" s="9">
        <f t="shared" si="53"/>
        <v>0</v>
      </c>
      <c r="H133" s="9">
        <f t="shared" si="53"/>
        <v>1132000</v>
      </c>
    </row>
    <row r="134" spans="1:8" ht="66" customHeight="1">
      <c r="A134" s="13" t="s">
        <v>231</v>
      </c>
      <c r="B134" s="14" t="s">
        <v>232</v>
      </c>
      <c r="C134" s="15">
        <f t="shared" si="53"/>
        <v>1132000</v>
      </c>
      <c r="D134" s="15">
        <f t="shared" si="53"/>
        <v>0</v>
      </c>
      <c r="E134" s="15">
        <f t="shared" si="53"/>
        <v>0</v>
      </c>
      <c r="F134" s="15">
        <f t="shared" si="53"/>
        <v>0</v>
      </c>
      <c r="G134" s="15">
        <f t="shared" si="53"/>
        <v>0</v>
      </c>
      <c r="H134" s="15">
        <f t="shared" si="53"/>
        <v>1132000</v>
      </c>
    </row>
    <row r="135" spans="1:8" ht="60" customHeight="1">
      <c r="A135" s="16" t="s">
        <v>233</v>
      </c>
      <c r="B135" s="18" t="s">
        <v>234</v>
      </c>
      <c r="C135" s="24">
        <v>1132000</v>
      </c>
      <c r="D135" s="24"/>
      <c r="E135" s="24"/>
      <c r="F135" s="24"/>
      <c r="G135" s="24"/>
      <c r="H135" s="24">
        <f>C135</f>
        <v>1132000</v>
      </c>
    </row>
    <row r="136" spans="1:8" ht="27" customHeight="1">
      <c r="A136" s="7" t="s">
        <v>235</v>
      </c>
      <c r="B136" s="8" t="s">
        <v>236</v>
      </c>
      <c r="C136" s="9">
        <f aca="true" t="shared" si="54" ref="C136:H136">C137+C139+C143++C149+C152+C153+C154+C158+C160+C164+C145+C163+C141</f>
        <v>310222000</v>
      </c>
      <c r="D136" s="9">
        <f t="shared" si="54"/>
        <v>115000000</v>
      </c>
      <c r="E136" s="9">
        <f t="shared" si="54"/>
        <v>0</v>
      </c>
      <c r="F136" s="9">
        <f t="shared" si="54"/>
        <v>19226473</v>
      </c>
      <c r="G136" s="9">
        <f t="shared" si="54"/>
        <v>0</v>
      </c>
      <c r="H136" s="9">
        <f t="shared" si="54"/>
        <v>444448473</v>
      </c>
    </row>
    <row r="137" spans="1:8" ht="138" customHeight="1">
      <c r="A137" s="13" t="s">
        <v>237</v>
      </c>
      <c r="B137" s="14" t="s">
        <v>238</v>
      </c>
      <c r="C137" s="15">
        <f aca="true" t="shared" si="55" ref="C137:H137">C138</f>
        <v>1200000</v>
      </c>
      <c r="D137" s="15">
        <f t="shared" si="55"/>
        <v>0</v>
      </c>
      <c r="E137" s="15">
        <f t="shared" si="55"/>
        <v>0</v>
      </c>
      <c r="F137" s="15">
        <f t="shared" si="55"/>
        <v>-400000</v>
      </c>
      <c r="G137" s="15">
        <f t="shared" si="55"/>
        <v>0</v>
      </c>
      <c r="H137" s="15">
        <f t="shared" si="55"/>
        <v>800000</v>
      </c>
    </row>
    <row r="138" spans="1:8" ht="139.5" customHeight="1">
      <c r="A138" s="16" t="s">
        <v>239</v>
      </c>
      <c r="B138" s="18" t="s">
        <v>240</v>
      </c>
      <c r="C138" s="19">
        <v>1200000</v>
      </c>
      <c r="D138" s="23"/>
      <c r="E138" s="23"/>
      <c r="F138" s="23">
        <v>-400000</v>
      </c>
      <c r="G138" s="19"/>
      <c r="H138" s="19">
        <f>C138+F138</f>
        <v>800000</v>
      </c>
    </row>
    <row r="139" spans="1:8" ht="42.75" customHeight="1">
      <c r="A139" s="13" t="s">
        <v>581</v>
      </c>
      <c r="B139" s="14" t="s">
        <v>582</v>
      </c>
      <c r="C139" s="15">
        <f aca="true" t="shared" si="56" ref="C139:H139">C140</f>
        <v>0</v>
      </c>
      <c r="D139" s="15">
        <f t="shared" si="56"/>
        <v>0</v>
      </c>
      <c r="E139" s="15">
        <f t="shared" si="56"/>
        <v>0</v>
      </c>
      <c r="F139" s="15">
        <f t="shared" si="56"/>
        <v>253</v>
      </c>
      <c r="G139" s="15">
        <f t="shared" si="56"/>
        <v>0</v>
      </c>
      <c r="H139" s="15">
        <f t="shared" si="56"/>
        <v>253</v>
      </c>
    </row>
    <row r="140" spans="1:8" ht="83.25" customHeight="1">
      <c r="A140" s="16" t="s">
        <v>583</v>
      </c>
      <c r="B140" s="18" t="s">
        <v>584</v>
      </c>
      <c r="C140" s="19"/>
      <c r="D140" s="23"/>
      <c r="E140" s="23"/>
      <c r="F140" s="23">
        <v>253</v>
      </c>
      <c r="G140" s="19"/>
      <c r="H140" s="19">
        <f>F140</f>
        <v>253</v>
      </c>
    </row>
    <row r="141" spans="1:8" ht="63" customHeight="1">
      <c r="A141" s="13" t="s">
        <v>586</v>
      </c>
      <c r="B141" s="14" t="s">
        <v>585</v>
      </c>
      <c r="C141" s="15">
        <f aca="true" t="shared" si="57" ref="C141:H141">C142</f>
        <v>0</v>
      </c>
      <c r="D141" s="15">
        <f t="shared" si="57"/>
        <v>0</v>
      </c>
      <c r="E141" s="15">
        <f t="shared" si="57"/>
        <v>0</v>
      </c>
      <c r="F141" s="15">
        <f t="shared" si="57"/>
        <v>20000</v>
      </c>
      <c r="G141" s="15">
        <f t="shared" si="57"/>
        <v>0</v>
      </c>
      <c r="H141" s="15">
        <f t="shared" si="57"/>
        <v>20000</v>
      </c>
    </row>
    <row r="142" spans="1:8" ht="59.25" customHeight="1">
      <c r="A142" s="16" t="s">
        <v>588</v>
      </c>
      <c r="B142" s="18" t="s">
        <v>587</v>
      </c>
      <c r="C142" s="19"/>
      <c r="D142" s="23"/>
      <c r="E142" s="23"/>
      <c r="F142" s="23">
        <v>20000</v>
      </c>
      <c r="G142" s="19"/>
      <c r="H142" s="19">
        <f>F142</f>
        <v>20000</v>
      </c>
    </row>
    <row r="143" spans="1:8" ht="66" customHeight="1">
      <c r="A143" s="13" t="s">
        <v>241</v>
      </c>
      <c r="B143" s="14" t="s">
        <v>242</v>
      </c>
      <c r="C143" s="15">
        <f aca="true" t="shared" si="58" ref="C143:H143">C144</f>
        <v>1720000</v>
      </c>
      <c r="D143" s="15">
        <f t="shared" si="58"/>
        <v>0</v>
      </c>
      <c r="E143" s="15">
        <f t="shared" si="58"/>
        <v>0</v>
      </c>
      <c r="F143" s="15">
        <f t="shared" si="58"/>
        <v>8302000</v>
      </c>
      <c r="G143" s="15">
        <f t="shared" si="58"/>
        <v>0</v>
      </c>
      <c r="H143" s="15">
        <f t="shared" si="58"/>
        <v>10022000</v>
      </c>
    </row>
    <row r="144" spans="1:8" ht="100.5" customHeight="1">
      <c r="A144" s="16" t="s">
        <v>243</v>
      </c>
      <c r="B144" s="18" t="s">
        <v>244</v>
      </c>
      <c r="C144" s="19">
        <v>1720000</v>
      </c>
      <c r="D144" s="23"/>
      <c r="E144" s="23"/>
      <c r="F144" s="23">
        <v>8302000</v>
      </c>
      <c r="G144" s="19"/>
      <c r="H144" s="19">
        <f>C144+F144</f>
        <v>10022000</v>
      </c>
    </row>
    <row r="145" spans="1:8" ht="45" customHeight="1">
      <c r="A145" s="13" t="s">
        <v>589</v>
      </c>
      <c r="B145" s="14" t="s">
        <v>590</v>
      </c>
      <c r="C145" s="15">
        <f aca="true" t="shared" si="59" ref="C145:H145">C146</f>
        <v>0</v>
      </c>
      <c r="D145" s="15">
        <f t="shared" si="59"/>
        <v>0</v>
      </c>
      <c r="E145" s="15">
        <f t="shared" si="59"/>
        <v>0</v>
      </c>
      <c r="F145" s="15">
        <f t="shared" si="59"/>
        <v>30150</v>
      </c>
      <c r="G145" s="15">
        <f t="shared" si="59"/>
        <v>0</v>
      </c>
      <c r="H145" s="15">
        <f t="shared" si="59"/>
        <v>30150</v>
      </c>
    </row>
    <row r="146" spans="1:8" ht="83.25" customHeight="1">
      <c r="A146" s="135" t="s">
        <v>592</v>
      </c>
      <c r="B146" s="117" t="s">
        <v>591</v>
      </c>
      <c r="C146" s="118">
        <f aca="true" t="shared" si="60" ref="C146:H146">C147+C148</f>
        <v>0</v>
      </c>
      <c r="D146" s="118">
        <f t="shared" si="60"/>
        <v>0</v>
      </c>
      <c r="E146" s="118">
        <f t="shared" si="60"/>
        <v>0</v>
      </c>
      <c r="F146" s="118">
        <f t="shared" si="60"/>
        <v>30150</v>
      </c>
      <c r="G146" s="118">
        <f t="shared" si="60"/>
        <v>0</v>
      </c>
      <c r="H146" s="118">
        <f t="shared" si="60"/>
        <v>30150</v>
      </c>
    </row>
    <row r="147" spans="1:8" ht="100.5" customHeight="1">
      <c r="A147" s="16" t="s">
        <v>594</v>
      </c>
      <c r="B147" s="18" t="s">
        <v>593</v>
      </c>
      <c r="C147" s="19"/>
      <c r="D147" s="19"/>
      <c r="E147" s="19"/>
      <c r="F147" s="19">
        <v>14150</v>
      </c>
      <c r="G147" s="19"/>
      <c r="H147" s="19">
        <f>F147</f>
        <v>14150</v>
      </c>
    </row>
    <row r="148" spans="1:8" ht="83.25" customHeight="1">
      <c r="A148" s="16" t="s">
        <v>596</v>
      </c>
      <c r="B148" s="18" t="s">
        <v>595</v>
      </c>
      <c r="C148" s="19"/>
      <c r="D148" s="19"/>
      <c r="E148" s="19"/>
      <c r="F148" s="19">
        <v>16000</v>
      </c>
      <c r="G148" s="19"/>
      <c r="H148" s="19">
        <f>F148</f>
        <v>16000</v>
      </c>
    </row>
    <row r="149" spans="1:8" ht="179.25" customHeight="1">
      <c r="A149" s="10" t="s">
        <v>245</v>
      </c>
      <c r="B149" s="20" t="s">
        <v>246</v>
      </c>
      <c r="C149" s="12">
        <f aca="true" t="shared" si="61" ref="C149:H150">C150</f>
        <v>150000</v>
      </c>
      <c r="D149" s="12">
        <f t="shared" si="61"/>
        <v>0</v>
      </c>
      <c r="E149" s="12">
        <f t="shared" si="61"/>
        <v>0</v>
      </c>
      <c r="F149" s="12">
        <f t="shared" si="61"/>
        <v>100000</v>
      </c>
      <c r="G149" s="12">
        <f t="shared" si="61"/>
        <v>0</v>
      </c>
      <c r="H149" s="12">
        <f t="shared" si="61"/>
        <v>250000</v>
      </c>
    </row>
    <row r="150" spans="1:8" ht="48" customHeight="1">
      <c r="A150" s="13" t="s">
        <v>247</v>
      </c>
      <c r="B150" s="21" t="s">
        <v>248</v>
      </c>
      <c r="C150" s="15">
        <f t="shared" si="61"/>
        <v>150000</v>
      </c>
      <c r="D150" s="15">
        <f t="shared" si="61"/>
        <v>0</v>
      </c>
      <c r="E150" s="15">
        <f t="shared" si="61"/>
        <v>0</v>
      </c>
      <c r="F150" s="15">
        <f t="shared" si="61"/>
        <v>100000</v>
      </c>
      <c r="G150" s="15">
        <f t="shared" si="61"/>
        <v>0</v>
      </c>
      <c r="H150" s="15">
        <f t="shared" si="61"/>
        <v>250000</v>
      </c>
    </row>
    <row r="151" spans="1:8" ht="80.25" customHeight="1">
      <c r="A151" s="25" t="s">
        <v>249</v>
      </c>
      <c r="B151" s="22" t="s">
        <v>250</v>
      </c>
      <c r="C151" s="19">
        <v>150000</v>
      </c>
      <c r="D151" s="23"/>
      <c r="E151" s="23"/>
      <c r="F151" s="23">
        <v>100000</v>
      </c>
      <c r="G151" s="19"/>
      <c r="H151" s="19">
        <f>C151+F151</f>
        <v>250000</v>
      </c>
    </row>
    <row r="152" spans="1:8" ht="45" customHeight="1">
      <c r="A152" s="16" t="s">
        <v>251</v>
      </c>
      <c r="B152" s="18" t="s">
        <v>252</v>
      </c>
      <c r="C152" s="19">
        <v>100000</v>
      </c>
      <c r="D152" s="23"/>
      <c r="E152" s="23"/>
      <c r="F152" s="23">
        <v>209000</v>
      </c>
      <c r="G152" s="19"/>
      <c r="H152" s="19">
        <f>C152+F152</f>
        <v>309000</v>
      </c>
    </row>
    <row r="153" spans="1:8" ht="61.5" customHeight="1">
      <c r="A153" s="16" t="s">
        <v>253</v>
      </c>
      <c r="B153" s="18" t="s">
        <v>254</v>
      </c>
      <c r="C153" s="19">
        <v>1795000</v>
      </c>
      <c r="D153" s="23"/>
      <c r="E153" s="23"/>
      <c r="F153" s="23">
        <v>-100000</v>
      </c>
      <c r="G153" s="19"/>
      <c r="H153" s="19">
        <f>C153+F153</f>
        <v>1695000</v>
      </c>
    </row>
    <row r="154" spans="1:8" ht="47.25" customHeight="1">
      <c r="A154" s="10" t="s">
        <v>255</v>
      </c>
      <c r="B154" s="11" t="s">
        <v>256</v>
      </c>
      <c r="C154" s="12">
        <f aca="true" t="shared" si="62" ref="C154:H154">C155+C157</f>
        <v>297144000</v>
      </c>
      <c r="D154" s="12">
        <f t="shared" si="62"/>
        <v>115000000</v>
      </c>
      <c r="E154" s="12">
        <f t="shared" si="62"/>
        <v>0</v>
      </c>
      <c r="F154" s="12">
        <f t="shared" si="62"/>
        <v>-28356000</v>
      </c>
      <c r="G154" s="12">
        <f t="shared" si="62"/>
        <v>0</v>
      </c>
      <c r="H154" s="12">
        <f t="shared" si="62"/>
        <v>383788000</v>
      </c>
    </row>
    <row r="155" spans="1:8" ht="64.5" customHeight="1">
      <c r="A155" s="13" t="s">
        <v>257</v>
      </c>
      <c r="B155" s="14" t="s">
        <v>258</v>
      </c>
      <c r="C155" s="15">
        <f aca="true" t="shared" si="63" ref="C155:H155">C156</f>
        <v>1231000</v>
      </c>
      <c r="D155" s="15">
        <f t="shared" si="63"/>
        <v>0</v>
      </c>
      <c r="E155" s="15">
        <f t="shared" si="63"/>
        <v>0</v>
      </c>
      <c r="F155" s="15">
        <f t="shared" si="63"/>
        <v>-666000</v>
      </c>
      <c r="G155" s="15">
        <f t="shared" si="63"/>
        <v>0</v>
      </c>
      <c r="H155" s="15">
        <f t="shared" si="63"/>
        <v>565000</v>
      </c>
    </row>
    <row r="156" spans="1:8" ht="100.5" customHeight="1">
      <c r="A156" s="16" t="s">
        <v>259</v>
      </c>
      <c r="B156" s="18" t="s">
        <v>260</v>
      </c>
      <c r="C156" s="19">
        <v>1231000</v>
      </c>
      <c r="D156" s="23"/>
      <c r="E156" s="23"/>
      <c r="F156" s="23">
        <v>-666000</v>
      </c>
      <c r="G156" s="19"/>
      <c r="H156" s="19">
        <f>C156+D156+F156</f>
        <v>565000</v>
      </c>
    </row>
    <row r="157" spans="1:8" ht="58.5" customHeight="1">
      <c r="A157" s="16" t="s">
        <v>261</v>
      </c>
      <c r="B157" s="18" t="s">
        <v>262</v>
      </c>
      <c r="C157" s="19">
        <v>295913000</v>
      </c>
      <c r="D157" s="23">
        <v>115000000</v>
      </c>
      <c r="E157" s="23"/>
      <c r="F157" s="23">
        <v>-27690000</v>
      </c>
      <c r="G157" s="19"/>
      <c r="H157" s="19">
        <f>C157+D157+F157</f>
        <v>383223000</v>
      </c>
    </row>
    <row r="158" spans="1:8" ht="102" customHeight="1">
      <c r="A158" s="13" t="s">
        <v>263</v>
      </c>
      <c r="B158" s="14" t="s">
        <v>264</v>
      </c>
      <c r="C158" s="15">
        <f aca="true" t="shared" si="64" ref="C158:H158">C159</f>
        <v>1100000</v>
      </c>
      <c r="D158" s="15">
        <f t="shared" si="64"/>
        <v>0</v>
      </c>
      <c r="E158" s="15">
        <f t="shared" si="64"/>
        <v>0</v>
      </c>
      <c r="F158" s="15">
        <f t="shared" si="64"/>
        <v>741044</v>
      </c>
      <c r="G158" s="15">
        <f t="shared" si="64"/>
        <v>0</v>
      </c>
      <c r="H158" s="15">
        <f t="shared" si="64"/>
        <v>1841044</v>
      </c>
    </row>
    <row r="159" spans="1:8" ht="121.5" customHeight="1">
      <c r="A159" s="16" t="s">
        <v>265</v>
      </c>
      <c r="B159" s="18" t="s">
        <v>604</v>
      </c>
      <c r="C159" s="19">
        <v>1100000</v>
      </c>
      <c r="D159" s="23"/>
      <c r="E159" s="23"/>
      <c r="F159" s="23">
        <v>741044</v>
      </c>
      <c r="G159" s="19"/>
      <c r="H159" s="19">
        <f>C159+F159</f>
        <v>1841044</v>
      </c>
    </row>
    <row r="160" spans="1:8" ht="99" customHeight="1">
      <c r="A160" s="13" t="s">
        <v>267</v>
      </c>
      <c r="B160" s="14" t="s">
        <v>268</v>
      </c>
      <c r="C160" s="15">
        <f aca="true" t="shared" si="65" ref="C160:H160">C161</f>
        <v>3363000</v>
      </c>
      <c r="D160" s="15">
        <f t="shared" si="65"/>
        <v>0</v>
      </c>
      <c r="E160" s="15">
        <f t="shared" si="65"/>
        <v>0</v>
      </c>
      <c r="F160" s="15">
        <f t="shared" si="65"/>
        <v>-1163000</v>
      </c>
      <c r="G160" s="15">
        <f t="shared" si="65"/>
        <v>0</v>
      </c>
      <c r="H160" s="15">
        <f t="shared" si="65"/>
        <v>2200000</v>
      </c>
    </row>
    <row r="161" spans="1:8" ht="141.75" customHeight="1">
      <c r="A161" s="16" t="s">
        <v>269</v>
      </c>
      <c r="B161" s="18" t="s">
        <v>270</v>
      </c>
      <c r="C161" s="19">
        <v>3363000</v>
      </c>
      <c r="D161" s="23"/>
      <c r="E161" s="23"/>
      <c r="F161" s="23">
        <v>-1163000</v>
      </c>
      <c r="G161" s="19"/>
      <c r="H161" s="19">
        <f>C161+F161</f>
        <v>2200000</v>
      </c>
    </row>
    <row r="162" spans="1:8" ht="67.5" customHeight="1">
      <c r="A162" s="13" t="s">
        <v>598</v>
      </c>
      <c r="B162" s="14" t="s">
        <v>597</v>
      </c>
      <c r="C162" s="15">
        <f aca="true" t="shared" si="66" ref="C162:H162">C163</f>
        <v>0</v>
      </c>
      <c r="D162" s="15">
        <f t="shared" si="66"/>
        <v>0</v>
      </c>
      <c r="E162" s="15">
        <f t="shared" si="66"/>
        <v>0</v>
      </c>
      <c r="F162" s="15">
        <f t="shared" si="66"/>
        <v>20224060</v>
      </c>
      <c r="G162" s="15">
        <f t="shared" si="66"/>
        <v>0</v>
      </c>
      <c r="H162" s="15">
        <f t="shared" si="66"/>
        <v>20224060</v>
      </c>
    </row>
    <row r="163" spans="1:8" ht="83.25" customHeight="1">
      <c r="A163" s="42" t="s">
        <v>600</v>
      </c>
      <c r="B163" s="18" t="s">
        <v>599</v>
      </c>
      <c r="C163" s="19"/>
      <c r="D163" s="23"/>
      <c r="E163" s="23"/>
      <c r="F163" s="23">
        <v>20224060</v>
      </c>
      <c r="G163" s="19"/>
      <c r="H163" s="19">
        <f>F163</f>
        <v>20224060</v>
      </c>
    </row>
    <row r="164" spans="1:8" ht="45.75" customHeight="1">
      <c r="A164" s="13" t="s">
        <v>271</v>
      </c>
      <c r="B164" s="14" t="s">
        <v>272</v>
      </c>
      <c r="C164" s="15">
        <f aca="true" t="shared" si="67" ref="C164:H164">C165</f>
        <v>3650000</v>
      </c>
      <c r="D164" s="15">
        <f t="shared" si="67"/>
        <v>0</v>
      </c>
      <c r="E164" s="15">
        <f t="shared" si="67"/>
        <v>0</v>
      </c>
      <c r="F164" s="15">
        <f t="shared" si="67"/>
        <v>19618966</v>
      </c>
      <c r="G164" s="15">
        <f t="shared" si="67"/>
        <v>0</v>
      </c>
      <c r="H164" s="15">
        <f t="shared" si="67"/>
        <v>23268966</v>
      </c>
    </row>
    <row r="165" spans="1:8" ht="82.5" customHeight="1">
      <c r="A165" s="16" t="s">
        <v>273</v>
      </c>
      <c r="B165" s="18" t="s">
        <v>274</v>
      </c>
      <c r="C165" s="19">
        <v>3650000</v>
      </c>
      <c r="D165" s="23"/>
      <c r="E165" s="23"/>
      <c r="F165" s="23">
        <v>19618966</v>
      </c>
      <c r="G165" s="19"/>
      <c r="H165" s="19">
        <f>C165+F165</f>
        <v>23268966</v>
      </c>
    </row>
    <row r="166" spans="1:8" ht="28.5" customHeight="1">
      <c r="A166" s="7" t="s">
        <v>601</v>
      </c>
      <c r="B166" s="8" t="s">
        <v>689</v>
      </c>
      <c r="C166" s="9">
        <f aca="true" t="shared" si="68" ref="C166:H167">C167</f>
        <v>0</v>
      </c>
      <c r="D166" s="9">
        <f t="shared" si="68"/>
        <v>0</v>
      </c>
      <c r="E166" s="9">
        <f t="shared" si="68"/>
        <v>0</v>
      </c>
      <c r="F166" s="9">
        <f t="shared" si="68"/>
        <v>124720</v>
      </c>
      <c r="G166" s="9">
        <f t="shared" si="68"/>
        <v>0</v>
      </c>
      <c r="H166" s="9">
        <f t="shared" si="68"/>
        <v>124720</v>
      </c>
    </row>
    <row r="167" spans="1:8" s="133" customFormat="1" ht="27" customHeight="1">
      <c r="A167" s="120" t="s">
        <v>602</v>
      </c>
      <c r="B167" s="120" t="s">
        <v>690</v>
      </c>
      <c r="C167" s="121">
        <f t="shared" si="68"/>
        <v>0</v>
      </c>
      <c r="D167" s="121">
        <f t="shared" si="68"/>
        <v>0</v>
      </c>
      <c r="E167" s="121">
        <f t="shared" si="68"/>
        <v>0</v>
      </c>
      <c r="F167" s="121">
        <f t="shared" si="68"/>
        <v>124720</v>
      </c>
      <c r="G167" s="121">
        <f t="shared" si="68"/>
        <v>0</v>
      </c>
      <c r="H167" s="121">
        <f t="shared" si="68"/>
        <v>124720</v>
      </c>
    </row>
    <row r="168" spans="1:8" ht="46.5" customHeight="1">
      <c r="A168" s="56" t="s">
        <v>610</v>
      </c>
      <c r="B168" s="18" t="s">
        <v>688</v>
      </c>
      <c r="C168" s="19"/>
      <c r="D168" s="23"/>
      <c r="E168" s="23"/>
      <c r="F168" s="23">
        <v>124720</v>
      </c>
      <c r="G168" s="19"/>
      <c r="H168" s="19">
        <f>F168</f>
        <v>124720</v>
      </c>
    </row>
    <row r="169" spans="1:8" ht="30.75" customHeight="1">
      <c r="A169" s="40" t="s">
        <v>275</v>
      </c>
      <c r="B169" s="26" t="s">
        <v>276</v>
      </c>
      <c r="C169" s="27">
        <f aca="true" t="shared" si="69" ref="C169:H169">C171+C176+C211+C233+C242+C244+C246+C247</f>
        <v>30621579384</v>
      </c>
      <c r="D169" s="27">
        <f t="shared" si="69"/>
        <v>973255767.2900001</v>
      </c>
      <c r="E169" s="27">
        <f t="shared" si="69"/>
        <v>0</v>
      </c>
      <c r="F169" s="27">
        <f t="shared" si="69"/>
        <v>-563520662.21</v>
      </c>
      <c r="G169" s="27">
        <f t="shared" si="69"/>
        <v>-506867575.92</v>
      </c>
      <c r="H169" s="27">
        <f t="shared" si="69"/>
        <v>30524446913.160004</v>
      </c>
    </row>
    <row r="170" spans="1:9" ht="48" customHeight="1">
      <c r="A170" s="41" t="s">
        <v>277</v>
      </c>
      <c r="B170" s="28" t="s">
        <v>278</v>
      </c>
      <c r="C170" s="29">
        <f aca="true" t="shared" si="70" ref="C170:H170">C171+C176+C211+C233</f>
        <v>30621579384</v>
      </c>
      <c r="D170" s="29">
        <f t="shared" si="70"/>
        <v>951966092</v>
      </c>
      <c r="E170" s="29">
        <f t="shared" si="70"/>
        <v>0</v>
      </c>
      <c r="F170" s="29">
        <f t="shared" si="70"/>
        <v>-563520662.21</v>
      </c>
      <c r="G170" s="29">
        <f t="shared" si="70"/>
        <v>-482307935.34000003</v>
      </c>
      <c r="H170" s="29">
        <f t="shared" si="70"/>
        <v>30527716878.45</v>
      </c>
      <c r="I170" s="129"/>
    </row>
    <row r="171" spans="1:8" ht="49.5" customHeight="1">
      <c r="A171" s="39" t="s">
        <v>279</v>
      </c>
      <c r="B171" s="30" t="s">
        <v>294</v>
      </c>
      <c r="C171" s="31">
        <f aca="true" t="shared" si="71" ref="C171:H171">SUM(C172:C175)</f>
        <v>13379978900</v>
      </c>
      <c r="D171" s="31">
        <f t="shared" si="71"/>
        <v>177808000</v>
      </c>
      <c r="E171" s="31">
        <f t="shared" si="71"/>
        <v>0</v>
      </c>
      <c r="F171" s="31">
        <f t="shared" si="71"/>
        <v>68563000</v>
      </c>
      <c r="G171" s="31">
        <f t="shared" si="71"/>
        <v>335276000</v>
      </c>
      <c r="H171" s="31">
        <f t="shared" si="71"/>
        <v>13961625900</v>
      </c>
    </row>
    <row r="172" spans="1:8" ht="63.75" customHeight="1">
      <c r="A172" s="42" t="s">
        <v>616</v>
      </c>
      <c r="B172" s="18" t="s">
        <v>617</v>
      </c>
      <c r="C172" s="23">
        <v>12805744900</v>
      </c>
      <c r="D172" s="23"/>
      <c r="E172" s="23"/>
      <c r="F172" s="23"/>
      <c r="G172" s="23"/>
      <c r="H172" s="23">
        <f>C172+D172+E172+F172+G172</f>
        <v>12805744900</v>
      </c>
    </row>
    <row r="173" spans="1:8" ht="58.5" customHeight="1">
      <c r="A173" s="42" t="s">
        <v>486</v>
      </c>
      <c r="B173" s="18" t="s">
        <v>618</v>
      </c>
      <c r="C173" s="23"/>
      <c r="D173" s="33">
        <v>177808000</v>
      </c>
      <c r="E173" s="33"/>
      <c r="F173" s="33"/>
      <c r="G173" s="23">
        <v>335276000</v>
      </c>
      <c r="H173" s="23">
        <f>C173+D173+E173+F173+G173</f>
        <v>513084000</v>
      </c>
    </row>
    <row r="174" spans="1:8" ht="75">
      <c r="A174" s="16" t="s">
        <v>280</v>
      </c>
      <c r="B174" s="18" t="s">
        <v>420</v>
      </c>
      <c r="C174" s="23">
        <v>574234000</v>
      </c>
      <c r="D174" s="23"/>
      <c r="E174" s="23"/>
      <c r="F174" s="23"/>
      <c r="G174" s="23"/>
      <c r="H174" s="23">
        <f>C174+D174+E174+F174+G174</f>
        <v>574234000</v>
      </c>
    </row>
    <row r="175" spans="1:8" ht="63.75" customHeight="1">
      <c r="A175" s="42" t="s">
        <v>611</v>
      </c>
      <c r="B175" s="18" t="s">
        <v>619</v>
      </c>
      <c r="C175" s="23"/>
      <c r="D175" s="23"/>
      <c r="E175" s="23"/>
      <c r="F175" s="23">
        <v>68563000</v>
      </c>
      <c r="G175" s="23"/>
      <c r="H175" s="23">
        <f>C175+D175+E175+F175+G175</f>
        <v>68563000</v>
      </c>
    </row>
    <row r="176" spans="1:9" ht="56.25">
      <c r="A176" s="39" t="s">
        <v>281</v>
      </c>
      <c r="B176" s="30" t="s">
        <v>282</v>
      </c>
      <c r="C176" s="31">
        <f aca="true" t="shared" si="72" ref="C176:H176">SUM(C177:C210)</f>
        <v>11182386200</v>
      </c>
      <c r="D176" s="31">
        <f t="shared" si="72"/>
        <v>115428188</v>
      </c>
      <c r="E176" s="31">
        <f t="shared" si="72"/>
        <v>0</v>
      </c>
      <c r="F176" s="31">
        <f t="shared" si="72"/>
        <v>-4618389862.21</v>
      </c>
      <c r="G176" s="31">
        <f t="shared" si="72"/>
        <v>-3175525</v>
      </c>
      <c r="H176" s="31">
        <f t="shared" si="72"/>
        <v>6676249000.79</v>
      </c>
      <c r="I176" s="129"/>
    </row>
    <row r="177" spans="1:8" ht="56.25">
      <c r="A177" s="42" t="s">
        <v>379</v>
      </c>
      <c r="B177" s="18" t="s">
        <v>283</v>
      </c>
      <c r="C177" s="19">
        <v>124759700</v>
      </c>
      <c r="D177" s="23"/>
      <c r="E177" s="23"/>
      <c r="F177" s="23"/>
      <c r="G177" s="19"/>
      <c r="H177" s="19">
        <f>C177+D177+E177+F177+G177</f>
        <v>124759700</v>
      </c>
    </row>
    <row r="178" spans="1:8" ht="75">
      <c r="A178" s="42" t="s">
        <v>284</v>
      </c>
      <c r="B178" s="18" t="s">
        <v>285</v>
      </c>
      <c r="C178" s="19">
        <v>436265900</v>
      </c>
      <c r="D178" s="23">
        <v>17339888</v>
      </c>
      <c r="E178" s="23"/>
      <c r="F178" s="23"/>
      <c r="G178" s="19"/>
      <c r="H178" s="19">
        <f aca="true" t="shared" si="73" ref="H178:H210">C178+D178+E178+F178+G178</f>
        <v>453605788</v>
      </c>
    </row>
    <row r="179" spans="1:13" ht="75">
      <c r="A179" s="16" t="s">
        <v>435</v>
      </c>
      <c r="B179" s="18" t="s">
        <v>436</v>
      </c>
      <c r="C179" s="19"/>
      <c r="D179" s="33">
        <v>12000</v>
      </c>
      <c r="E179" s="33"/>
      <c r="F179" s="33">
        <v>21000</v>
      </c>
      <c r="G179" s="19">
        <v>14800</v>
      </c>
      <c r="H179" s="19">
        <f t="shared" si="73"/>
        <v>47800</v>
      </c>
      <c r="I179" s="1" t="s">
        <v>548</v>
      </c>
      <c r="M179" s="36"/>
    </row>
    <row r="180" spans="1:8" s="52" customFormat="1" ht="75">
      <c r="A180" s="16" t="s">
        <v>612</v>
      </c>
      <c r="B180" s="18" t="s">
        <v>620</v>
      </c>
      <c r="C180" s="19">
        <v>329403800</v>
      </c>
      <c r="D180" s="23"/>
      <c r="E180" s="23"/>
      <c r="F180" s="23">
        <v>-49723962.21</v>
      </c>
      <c r="G180" s="19"/>
      <c r="H180" s="19">
        <f t="shared" si="73"/>
        <v>279679837.79</v>
      </c>
    </row>
    <row r="181" spans="1:8" ht="75">
      <c r="A181" s="42" t="s">
        <v>337</v>
      </c>
      <c r="B181" s="18" t="s">
        <v>621</v>
      </c>
      <c r="C181" s="19">
        <v>10703800</v>
      </c>
      <c r="D181" s="19"/>
      <c r="E181" s="19"/>
      <c r="F181" s="19"/>
      <c r="G181" s="19"/>
      <c r="H181" s="19">
        <f t="shared" si="73"/>
        <v>10703800</v>
      </c>
    </row>
    <row r="182" spans="1:8" s="53" customFormat="1" ht="75">
      <c r="A182" s="42" t="s">
        <v>338</v>
      </c>
      <c r="B182" s="18" t="s">
        <v>622</v>
      </c>
      <c r="C182" s="19">
        <v>49800</v>
      </c>
      <c r="D182" s="23"/>
      <c r="E182" s="23"/>
      <c r="F182" s="23"/>
      <c r="G182" s="19"/>
      <c r="H182" s="19">
        <f t="shared" si="73"/>
        <v>49800</v>
      </c>
    </row>
    <row r="183" spans="1:8" s="53" customFormat="1" ht="93.75">
      <c r="A183" s="42" t="s">
        <v>340</v>
      </c>
      <c r="B183" s="18" t="s">
        <v>623</v>
      </c>
      <c r="C183" s="23">
        <v>14079000</v>
      </c>
      <c r="D183" s="23"/>
      <c r="E183" s="23"/>
      <c r="F183" s="23"/>
      <c r="G183" s="23"/>
      <c r="H183" s="19">
        <f t="shared" si="73"/>
        <v>14079000</v>
      </c>
    </row>
    <row r="184" spans="1:8" ht="101.25" customHeight="1">
      <c r="A184" s="42" t="s">
        <v>341</v>
      </c>
      <c r="B184" s="18" t="s">
        <v>624</v>
      </c>
      <c r="C184" s="23">
        <v>77360700</v>
      </c>
      <c r="D184" s="23"/>
      <c r="E184" s="23"/>
      <c r="F184" s="23"/>
      <c r="G184" s="23"/>
      <c r="H184" s="19">
        <f t="shared" si="73"/>
        <v>77360700</v>
      </c>
    </row>
    <row r="185" spans="1:8" ht="93.75">
      <c r="A185" s="16" t="s">
        <v>406</v>
      </c>
      <c r="B185" s="18" t="s">
        <v>625</v>
      </c>
      <c r="C185" s="23">
        <v>223604900</v>
      </c>
      <c r="D185" s="19"/>
      <c r="E185" s="19"/>
      <c r="F185" s="19">
        <v>18506200</v>
      </c>
      <c r="G185" s="23">
        <v>-3849600</v>
      </c>
      <c r="H185" s="19">
        <f t="shared" si="73"/>
        <v>238261500</v>
      </c>
    </row>
    <row r="186" spans="1:8" ht="135" customHeight="1">
      <c r="A186" s="42" t="s">
        <v>344</v>
      </c>
      <c r="B186" s="18" t="s">
        <v>626</v>
      </c>
      <c r="C186" s="19">
        <v>4377100</v>
      </c>
      <c r="D186" s="23"/>
      <c r="E186" s="23"/>
      <c r="F186" s="23"/>
      <c r="G186" s="19"/>
      <c r="H186" s="19">
        <f t="shared" si="73"/>
        <v>4377100</v>
      </c>
    </row>
    <row r="187" spans="1:8" ht="93.75">
      <c r="A187" s="42" t="s">
        <v>346</v>
      </c>
      <c r="B187" s="18" t="s">
        <v>627</v>
      </c>
      <c r="C187" s="19">
        <v>19518000</v>
      </c>
      <c r="D187" s="23"/>
      <c r="E187" s="23"/>
      <c r="F187" s="23"/>
      <c r="G187" s="19"/>
      <c r="H187" s="19">
        <f t="shared" si="73"/>
        <v>19518000</v>
      </c>
    </row>
    <row r="188" spans="1:9" ht="93.75">
      <c r="A188" s="42" t="s">
        <v>605</v>
      </c>
      <c r="B188" s="18" t="s">
        <v>606</v>
      </c>
      <c r="C188" s="19"/>
      <c r="D188" s="19"/>
      <c r="E188" s="19"/>
      <c r="F188" s="19"/>
      <c r="G188" s="19">
        <v>244375</v>
      </c>
      <c r="H188" s="19">
        <f t="shared" si="73"/>
        <v>244375</v>
      </c>
      <c r="I188" s="1" t="s">
        <v>548</v>
      </c>
    </row>
    <row r="189" spans="1:8" ht="168.75">
      <c r="A189" s="42" t="s">
        <v>416</v>
      </c>
      <c r="B189" s="18" t="s">
        <v>628</v>
      </c>
      <c r="C189" s="19">
        <v>2659200</v>
      </c>
      <c r="D189" s="23"/>
      <c r="E189" s="23"/>
      <c r="F189" s="23"/>
      <c r="G189" s="19"/>
      <c r="H189" s="19">
        <f t="shared" si="73"/>
        <v>2659200</v>
      </c>
    </row>
    <row r="190" spans="1:8" ht="75">
      <c r="A190" s="16" t="s">
        <v>286</v>
      </c>
      <c r="B190" s="18" t="s">
        <v>629</v>
      </c>
      <c r="C190" s="19">
        <v>52138500</v>
      </c>
      <c r="D190" s="19"/>
      <c r="E190" s="19"/>
      <c r="F190" s="19"/>
      <c r="G190" s="19"/>
      <c r="H190" s="19">
        <f t="shared" si="73"/>
        <v>52138500</v>
      </c>
    </row>
    <row r="191" spans="1:9" ht="120" customHeight="1">
      <c r="A191" s="16" t="s">
        <v>407</v>
      </c>
      <c r="B191" s="18" t="s">
        <v>630</v>
      </c>
      <c r="C191" s="23">
        <v>9871700</v>
      </c>
      <c r="D191" s="23"/>
      <c r="E191" s="23"/>
      <c r="F191" s="23"/>
      <c r="G191" s="23">
        <v>414900</v>
      </c>
      <c r="H191" s="19">
        <f t="shared" si="73"/>
        <v>10286600</v>
      </c>
      <c r="I191" s="1" t="s">
        <v>548</v>
      </c>
    </row>
    <row r="192" spans="1:8" ht="80.25" customHeight="1">
      <c r="A192" s="16" t="s">
        <v>404</v>
      </c>
      <c r="B192" s="18" t="s">
        <v>405</v>
      </c>
      <c r="C192" s="23">
        <v>15293400</v>
      </c>
      <c r="D192" s="23"/>
      <c r="E192" s="23"/>
      <c r="F192" s="23"/>
      <c r="G192" s="23"/>
      <c r="H192" s="19">
        <f t="shared" si="73"/>
        <v>15293400</v>
      </c>
    </row>
    <row r="193" spans="1:8" ht="93.75">
      <c r="A193" s="42" t="s">
        <v>378</v>
      </c>
      <c r="B193" s="18" t="s">
        <v>631</v>
      </c>
      <c r="C193" s="33">
        <v>31822200</v>
      </c>
      <c r="D193" s="23"/>
      <c r="E193" s="23"/>
      <c r="F193" s="23"/>
      <c r="G193" s="33"/>
      <c r="H193" s="19">
        <f t="shared" si="73"/>
        <v>31822200</v>
      </c>
    </row>
    <row r="194" spans="1:8" ht="56.25">
      <c r="A194" s="16" t="s">
        <v>613</v>
      </c>
      <c r="B194" s="18" t="s">
        <v>632</v>
      </c>
      <c r="C194" s="19">
        <v>25832500</v>
      </c>
      <c r="D194" s="23"/>
      <c r="E194" s="23"/>
      <c r="F194" s="23"/>
      <c r="G194" s="19"/>
      <c r="H194" s="19">
        <f t="shared" si="73"/>
        <v>25832500</v>
      </c>
    </row>
    <row r="195" spans="1:8" ht="75">
      <c r="A195" s="42" t="s">
        <v>429</v>
      </c>
      <c r="B195" s="55" t="s">
        <v>633</v>
      </c>
      <c r="C195" s="33">
        <v>1938400</v>
      </c>
      <c r="D195" s="23"/>
      <c r="E195" s="23"/>
      <c r="F195" s="23"/>
      <c r="G195" s="33"/>
      <c r="H195" s="19">
        <f t="shared" si="73"/>
        <v>1938400</v>
      </c>
    </row>
    <row r="196" spans="1:8" ht="66" customHeight="1">
      <c r="A196" s="16" t="s">
        <v>410</v>
      </c>
      <c r="B196" s="18" t="s">
        <v>634</v>
      </c>
      <c r="C196" s="23">
        <v>3447300</v>
      </c>
      <c r="D196" s="23"/>
      <c r="E196" s="23"/>
      <c r="F196" s="23">
        <v>10000000</v>
      </c>
      <c r="G196" s="23"/>
      <c r="H196" s="19">
        <f t="shared" si="73"/>
        <v>13447300</v>
      </c>
    </row>
    <row r="197" spans="1:8" ht="37.5">
      <c r="A197" s="42" t="s">
        <v>287</v>
      </c>
      <c r="B197" s="18" t="s">
        <v>635</v>
      </c>
      <c r="C197" s="19">
        <v>4700000</v>
      </c>
      <c r="D197" s="19"/>
      <c r="E197" s="19"/>
      <c r="F197" s="19"/>
      <c r="G197" s="19"/>
      <c r="H197" s="19">
        <f t="shared" si="73"/>
        <v>4700000</v>
      </c>
    </row>
    <row r="198" spans="1:8" ht="93.75">
      <c r="A198" s="42" t="s">
        <v>381</v>
      </c>
      <c r="B198" s="18" t="s">
        <v>636</v>
      </c>
      <c r="C198" s="33">
        <v>301682000</v>
      </c>
      <c r="D198" s="32"/>
      <c r="E198" s="32"/>
      <c r="F198" s="32"/>
      <c r="G198" s="33"/>
      <c r="H198" s="19">
        <f t="shared" si="73"/>
        <v>301682000</v>
      </c>
    </row>
    <row r="199" spans="1:8" ht="96" customHeight="1">
      <c r="A199" s="42" t="s">
        <v>408</v>
      </c>
      <c r="B199" s="18" t="s">
        <v>637</v>
      </c>
      <c r="C199" s="33">
        <v>30715900</v>
      </c>
      <c r="D199" s="32"/>
      <c r="E199" s="32"/>
      <c r="F199" s="32"/>
      <c r="G199" s="33"/>
      <c r="H199" s="19">
        <f t="shared" si="73"/>
        <v>30715900</v>
      </c>
    </row>
    <row r="200" spans="1:8" ht="117" customHeight="1">
      <c r="A200" s="16" t="s">
        <v>389</v>
      </c>
      <c r="B200" s="55" t="s">
        <v>638</v>
      </c>
      <c r="C200" s="33">
        <v>34354400</v>
      </c>
      <c r="D200" s="32"/>
      <c r="E200" s="32"/>
      <c r="F200" s="32"/>
      <c r="G200" s="33"/>
      <c r="H200" s="19">
        <f t="shared" si="73"/>
        <v>34354400</v>
      </c>
    </row>
    <row r="201" spans="1:8" ht="141" customHeight="1">
      <c r="A201" s="16" t="s">
        <v>390</v>
      </c>
      <c r="B201" s="18" t="s">
        <v>639</v>
      </c>
      <c r="C201" s="33">
        <v>3495400</v>
      </c>
      <c r="D201" s="32"/>
      <c r="E201" s="32"/>
      <c r="F201" s="32"/>
      <c r="G201" s="33"/>
      <c r="H201" s="19">
        <f t="shared" si="73"/>
        <v>3495400</v>
      </c>
    </row>
    <row r="202" spans="1:8" ht="75">
      <c r="A202" s="16" t="s">
        <v>614</v>
      </c>
      <c r="B202" s="18" t="s">
        <v>640</v>
      </c>
      <c r="C202" s="32">
        <v>205282400</v>
      </c>
      <c r="D202" s="32"/>
      <c r="E202" s="32"/>
      <c r="F202" s="32">
        <v>70645100</v>
      </c>
      <c r="G202" s="32"/>
      <c r="H202" s="19">
        <f t="shared" si="73"/>
        <v>275927500</v>
      </c>
    </row>
    <row r="203" spans="1:8" ht="56.25">
      <c r="A203" s="16" t="s">
        <v>288</v>
      </c>
      <c r="B203" s="18" t="s">
        <v>641</v>
      </c>
      <c r="C203" s="33">
        <v>127412300</v>
      </c>
      <c r="D203" s="32"/>
      <c r="E203" s="32"/>
      <c r="F203" s="32"/>
      <c r="G203" s="33"/>
      <c r="H203" s="19">
        <f t="shared" si="73"/>
        <v>127412300</v>
      </c>
    </row>
    <row r="204" spans="1:8" ht="75">
      <c r="A204" s="42" t="s">
        <v>349</v>
      </c>
      <c r="B204" s="18" t="s">
        <v>642</v>
      </c>
      <c r="C204" s="33">
        <v>1537065100</v>
      </c>
      <c r="D204" s="32"/>
      <c r="E204" s="32"/>
      <c r="F204" s="32"/>
      <c r="G204" s="33"/>
      <c r="H204" s="19">
        <f t="shared" si="73"/>
        <v>1537065100</v>
      </c>
    </row>
    <row r="205" spans="1:8" ht="75">
      <c r="A205" s="16" t="s">
        <v>326</v>
      </c>
      <c r="B205" s="18" t="s">
        <v>643</v>
      </c>
      <c r="C205" s="33">
        <v>7171466700</v>
      </c>
      <c r="D205" s="32"/>
      <c r="E205" s="32"/>
      <c r="F205" s="32">
        <v>-4712224700</v>
      </c>
      <c r="G205" s="33"/>
      <c r="H205" s="19">
        <f t="shared" si="73"/>
        <v>2459242000</v>
      </c>
    </row>
    <row r="206" spans="1:8" ht="93.75">
      <c r="A206" s="42" t="s">
        <v>350</v>
      </c>
      <c r="B206" s="18" t="s">
        <v>644</v>
      </c>
      <c r="C206" s="33">
        <v>251743700</v>
      </c>
      <c r="D206" s="32"/>
      <c r="E206" s="32"/>
      <c r="F206" s="32"/>
      <c r="G206" s="33"/>
      <c r="H206" s="19">
        <f t="shared" si="73"/>
        <v>251743700</v>
      </c>
    </row>
    <row r="207" spans="1:8" ht="56.25">
      <c r="A207" s="16" t="s">
        <v>330</v>
      </c>
      <c r="B207" s="18" t="s">
        <v>645</v>
      </c>
      <c r="C207" s="33">
        <v>5299400</v>
      </c>
      <c r="D207" s="32"/>
      <c r="E207" s="32"/>
      <c r="F207" s="32"/>
      <c r="G207" s="33"/>
      <c r="H207" s="19">
        <f t="shared" si="73"/>
        <v>5299400</v>
      </c>
    </row>
    <row r="208" spans="1:8" ht="56.25">
      <c r="A208" s="16" t="s">
        <v>393</v>
      </c>
      <c r="B208" s="56" t="s">
        <v>646</v>
      </c>
      <c r="C208" s="19">
        <v>20631000</v>
      </c>
      <c r="D208" s="32"/>
      <c r="E208" s="32"/>
      <c r="F208" s="32">
        <v>44386500</v>
      </c>
      <c r="G208" s="19"/>
      <c r="H208" s="19">
        <f t="shared" si="73"/>
        <v>65017500</v>
      </c>
    </row>
    <row r="209" spans="1:8" ht="75">
      <c r="A209" s="16" t="s">
        <v>392</v>
      </c>
      <c r="B209" s="56" t="s">
        <v>647</v>
      </c>
      <c r="C209" s="19">
        <v>105412000</v>
      </c>
      <c r="D209" s="19"/>
      <c r="E209" s="19"/>
      <c r="F209" s="19"/>
      <c r="G209" s="19"/>
      <c r="H209" s="19">
        <f t="shared" si="73"/>
        <v>105412000</v>
      </c>
    </row>
    <row r="210" spans="1:8" ht="131.25">
      <c r="A210" s="42" t="s">
        <v>492</v>
      </c>
      <c r="B210" s="56" t="s">
        <v>648</v>
      </c>
      <c r="C210" s="19"/>
      <c r="D210" s="19">
        <v>98076300</v>
      </c>
      <c r="E210" s="19"/>
      <c r="F210" s="19"/>
      <c r="G210" s="19"/>
      <c r="H210" s="19">
        <f t="shared" si="73"/>
        <v>98076300</v>
      </c>
    </row>
    <row r="211" spans="1:8" ht="42.75" customHeight="1">
      <c r="A211" s="76" t="s">
        <v>295</v>
      </c>
      <c r="B211" s="30" t="s">
        <v>296</v>
      </c>
      <c r="C211" s="31">
        <f aca="true" t="shared" si="74" ref="C211:H211">SUM(C212:C232)</f>
        <v>5964146100</v>
      </c>
      <c r="D211" s="31">
        <f t="shared" si="74"/>
        <v>385252900</v>
      </c>
      <c r="E211" s="31">
        <f t="shared" si="74"/>
        <v>0</v>
      </c>
      <c r="F211" s="31">
        <f t="shared" si="74"/>
        <v>-589358900</v>
      </c>
      <c r="G211" s="31">
        <f t="shared" si="74"/>
        <v>-815608410.34</v>
      </c>
      <c r="H211" s="31">
        <f t="shared" si="74"/>
        <v>4944431689.66</v>
      </c>
    </row>
    <row r="212" spans="1:8" ht="75">
      <c r="A212" s="42" t="s">
        <v>555</v>
      </c>
      <c r="B212" s="18" t="s">
        <v>649</v>
      </c>
      <c r="C212" s="32">
        <v>24319600</v>
      </c>
      <c r="D212" s="32"/>
      <c r="E212" s="32"/>
      <c r="F212" s="32">
        <v>3330200</v>
      </c>
      <c r="G212" s="32"/>
      <c r="H212" s="23">
        <f>C212+D212+E212+F212+G212</f>
        <v>27649800</v>
      </c>
    </row>
    <row r="213" spans="1:8" ht="93.75">
      <c r="A213" s="16" t="s">
        <v>289</v>
      </c>
      <c r="B213" s="18" t="s">
        <v>650</v>
      </c>
      <c r="C213" s="23">
        <v>3095800</v>
      </c>
      <c r="D213" s="32"/>
      <c r="E213" s="32"/>
      <c r="F213" s="32"/>
      <c r="G213" s="23"/>
      <c r="H213" s="23">
        <f aca="true" t="shared" si="75" ref="H213:H232">C213+D213+E213+F213+G213</f>
        <v>3095800</v>
      </c>
    </row>
    <row r="214" spans="1:8" ht="56.25">
      <c r="A214" s="42" t="s">
        <v>352</v>
      </c>
      <c r="B214" s="18" t="s">
        <v>651</v>
      </c>
      <c r="C214" s="23">
        <v>7828800</v>
      </c>
      <c r="D214" s="32"/>
      <c r="E214" s="32"/>
      <c r="F214" s="32"/>
      <c r="G214" s="23"/>
      <c r="H214" s="23">
        <f t="shared" si="75"/>
        <v>7828800</v>
      </c>
    </row>
    <row r="215" spans="1:8" ht="56.25">
      <c r="A215" s="42" t="s">
        <v>353</v>
      </c>
      <c r="B215" s="18" t="s">
        <v>652</v>
      </c>
      <c r="C215" s="32">
        <v>311241100</v>
      </c>
      <c r="D215" s="33"/>
      <c r="E215" s="33"/>
      <c r="F215" s="33"/>
      <c r="G215" s="32">
        <v>1363700</v>
      </c>
      <c r="H215" s="23">
        <f t="shared" si="75"/>
        <v>312604800</v>
      </c>
    </row>
    <row r="216" spans="1:8" ht="84.75" customHeight="1">
      <c r="A216" s="42" t="s">
        <v>355</v>
      </c>
      <c r="B216" s="18" t="s">
        <v>653</v>
      </c>
      <c r="C216" s="19">
        <v>323015300</v>
      </c>
      <c r="D216" s="32"/>
      <c r="E216" s="32"/>
      <c r="F216" s="32"/>
      <c r="G216" s="19"/>
      <c r="H216" s="23">
        <f t="shared" si="75"/>
        <v>323015300</v>
      </c>
    </row>
    <row r="217" spans="1:8" ht="161.25" customHeight="1">
      <c r="A217" s="42" t="s">
        <v>357</v>
      </c>
      <c r="B217" s="55" t="s">
        <v>654</v>
      </c>
      <c r="C217" s="23">
        <v>59515300</v>
      </c>
      <c r="D217" s="32"/>
      <c r="E217" s="32"/>
      <c r="F217" s="32"/>
      <c r="G217" s="23"/>
      <c r="H217" s="23">
        <f t="shared" si="75"/>
        <v>59515300</v>
      </c>
    </row>
    <row r="218" spans="1:8" ht="99.75" customHeight="1">
      <c r="A218" s="42" t="s">
        <v>360</v>
      </c>
      <c r="B218" s="18" t="s">
        <v>655</v>
      </c>
      <c r="C218" s="32">
        <v>5180100</v>
      </c>
      <c r="D218" s="32"/>
      <c r="E218" s="32"/>
      <c r="F218" s="32">
        <v>493300</v>
      </c>
      <c r="G218" s="32"/>
      <c r="H218" s="23">
        <f t="shared" si="75"/>
        <v>5673400</v>
      </c>
    </row>
    <row r="219" spans="1:8" ht="112.5">
      <c r="A219" s="42" t="s">
        <v>359</v>
      </c>
      <c r="B219" s="18" t="s">
        <v>656</v>
      </c>
      <c r="C219" s="32">
        <v>3232168800</v>
      </c>
      <c r="D219" s="33"/>
      <c r="E219" s="33"/>
      <c r="F219" s="33">
        <v>-632814400</v>
      </c>
      <c r="G219" s="32">
        <v>-451930000</v>
      </c>
      <c r="H219" s="23">
        <f t="shared" si="75"/>
        <v>2147424400</v>
      </c>
    </row>
    <row r="220" spans="1:8" ht="119.25" customHeight="1">
      <c r="A220" s="42" t="s">
        <v>422</v>
      </c>
      <c r="B220" s="55" t="s">
        <v>657</v>
      </c>
      <c r="C220" s="32">
        <v>2768700</v>
      </c>
      <c r="D220" s="32"/>
      <c r="E220" s="32"/>
      <c r="F220" s="32">
        <v>1314300</v>
      </c>
      <c r="G220" s="32"/>
      <c r="H220" s="23">
        <f t="shared" si="75"/>
        <v>4083000</v>
      </c>
    </row>
    <row r="221" spans="1:9" ht="112.5">
      <c r="A221" s="42" t="s">
        <v>424</v>
      </c>
      <c r="B221" s="66" t="s">
        <v>658</v>
      </c>
      <c r="C221" s="33"/>
      <c r="D221" s="33">
        <v>41175200</v>
      </c>
      <c r="E221" s="33"/>
      <c r="F221" s="33">
        <v>4545900</v>
      </c>
      <c r="G221" s="33">
        <v>1620300</v>
      </c>
      <c r="H221" s="23">
        <f t="shared" si="75"/>
        <v>47341400</v>
      </c>
      <c r="I221" s="1" t="s">
        <v>548</v>
      </c>
    </row>
    <row r="222" spans="1:8" ht="112.5">
      <c r="A222" s="42" t="s">
        <v>361</v>
      </c>
      <c r="B222" s="18" t="s">
        <v>659</v>
      </c>
      <c r="C222" s="32">
        <v>80754700</v>
      </c>
      <c r="D222" s="32"/>
      <c r="E222" s="32"/>
      <c r="F222" s="32">
        <v>628600</v>
      </c>
      <c r="G222" s="32"/>
      <c r="H222" s="23">
        <f t="shared" si="75"/>
        <v>81383300</v>
      </c>
    </row>
    <row r="223" spans="1:8" ht="93.75">
      <c r="A223" s="42" t="s">
        <v>362</v>
      </c>
      <c r="B223" s="18" t="s">
        <v>660</v>
      </c>
      <c r="C223" s="32">
        <v>102500</v>
      </c>
      <c r="D223" s="33"/>
      <c r="E223" s="33"/>
      <c r="F223" s="33"/>
      <c r="G223" s="32">
        <v>26300</v>
      </c>
      <c r="H223" s="23">
        <f t="shared" si="75"/>
        <v>128800</v>
      </c>
    </row>
    <row r="224" spans="1:8" ht="56.25">
      <c r="A224" s="42" t="s">
        <v>364</v>
      </c>
      <c r="B224" s="18" t="s">
        <v>661</v>
      </c>
      <c r="C224" s="32">
        <v>917483600</v>
      </c>
      <c r="D224" s="33"/>
      <c r="E224" s="33"/>
      <c r="F224" s="33"/>
      <c r="G224" s="23">
        <v>-200000000</v>
      </c>
      <c r="H224" s="23">
        <f t="shared" si="75"/>
        <v>717483600</v>
      </c>
    </row>
    <row r="225" spans="1:8" ht="75">
      <c r="A225" s="42" t="s">
        <v>366</v>
      </c>
      <c r="B225" s="18" t="s">
        <v>662</v>
      </c>
      <c r="C225" s="23">
        <v>10368900</v>
      </c>
      <c r="D225" s="32"/>
      <c r="E225" s="32"/>
      <c r="F225" s="32"/>
      <c r="G225" s="23">
        <v>-3014300</v>
      </c>
      <c r="H225" s="23">
        <f t="shared" si="75"/>
        <v>7354600</v>
      </c>
    </row>
    <row r="226" spans="1:8" ht="123" customHeight="1">
      <c r="A226" s="42" t="s">
        <v>369</v>
      </c>
      <c r="B226" s="18" t="s">
        <v>663</v>
      </c>
      <c r="C226" s="32">
        <v>10356900</v>
      </c>
      <c r="D226" s="32"/>
      <c r="E226" s="32"/>
      <c r="F226" s="32"/>
      <c r="G226" s="32">
        <v>-4190500</v>
      </c>
      <c r="H226" s="23">
        <f t="shared" si="75"/>
        <v>6166400</v>
      </c>
    </row>
    <row r="227" spans="1:8" ht="93.75">
      <c r="A227" s="42" t="s">
        <v>370</v>
      </c>
      <c r="B227" s="18" t="s">
        <v>664</v>
      </c>
      <c r="C227" s="23">
        <v>215500</v>
      </c>
      <c r="D227" s="32"/>
      <c r="E227" s="32"/>
      <c r="F227" s="32"/>
      <c r="G227" s="23"/>
      <c r="H227" s="23">
        <f t="shared" si="75"/>
        <v>215500</v>
      </c>
    </row>
    <row r="228" spans="1:8" ht="75">
      <c r="A228" s="42" t="s">
        <v>372</v>
      </c>
      <c r="B228" s="18" t="s">
        <v>665</v>
      </c>
      <c r="C228" s="32">
        <v>349989400</v>
      </c>
      <c r="D228" s="32"/>
      <c r="E228" s="32"/>
      <c r="F228" s="32"/>
      <c r="G228" s="32">
        <v>-97658100</v>
      </c>
      <c r="H228" s="23">
        <f t="shared" si="75"/>
        <v>252331300</v>
      </c>
    </row>
    <row r="229" spans="1:8" ht="150">
      <c r="A229" s="42" t="s">
        <v>374</v>
      </c>
      <c r="B229" s="18" t="s">
        <v>666</v>
      </c>
      <c r="C229" s="32">
        <v>496366400</v>
      </c>
      <c r="D229" s="33"/>
      <c r="E229" s="33"/>
      <c r="F229" s="33"/>
      <c r="G229" s="32">
        <v>-47583300</v>
      </c>
      <c r="H229" s="23">
        <f t="shared" si="75"/>
        <v>448783100</v>
      </c>
    </row>
    <row r="230" spans="1:9" ht="162" customHeight="1">
      <c r="A230" s="16" t="s">
        <v>425</v>
      </c>
      <c r="B230" s="18" t="s">
        <v>667</v>
      </c>
      <c r="C230" s="33"/>
      <c r="D230" s="33">
        <v>218079100</v>
      </c>
      <c r="E230" s="33"/>
      <c r="F230" s="33">
        <v>23061700</v>
      </c>
      <c r="G230" s="33">
        <v>8369600</v>
      </c>
      <c r="H230" s="23">
        <f t="shared" si="75"/>
        <v>249510400</v>
      </c>
      <c r="I230" s="1" t="s">
        <v>548</v>
      </c>
    </row>
    <row r="231" spans="1:8" ht="93.75">
      <c r="A231" s="16" t="s">
        <v>423</v>
      </c>
      <c r="B231" s="18" t="s">
        <v>668</v>
      </c>
      <c r="C231" s="33"/>
      <c r="D231" s="33">
        <v>125998600</v>
      </c>
      <c r="E231" s="33"/>
      <c r="F231" s="32"/>
      <c r="G231" s="33">
        <v>15201189.66</v>
      </c>
      <c r="H231" s="23">
        <f t="shared" si="75"/>
        <v>141199789.66</v>
      </c>
    </row>
    <row r="232" spans="1:9" ht="37.5">
      <c r="A232" s="42" t="s">
        <v>290</v>
      </c>
      <c r="B232" s="18" t="s">
        <v>669</v>
      </c>
      <c r="C232" s="23">
        <v>129374700</v>
      </c>
      <c r="D232" s="33"/>
      <c r="E232" s="33"/>
      <c r="F232" s="33">
        <v>10081500</v>
      </c>
      <c r="G232" s="19">
        <v>-37813300</v>
      </c>
      <c r="H232" s="23">
        <f t="shared" si="75"/>
        <v>101642900</v>
      </c>
      <c r="I232" s="1" t="s">
        <v>548</v>
      </c>
    </row>
    <row r="233" spans="1:8" ht="29.25" customHeight="1">
      <c r="A233" s="76" t="s">
        <v>297</v>
      </c>
      <c r="B233" s="30" t="s">
        <v>291</v>
      </c>
      <c r="C233" s="34">
        <f aca="true" t="shared" si="76" ref="C233:H233">SUM(C234:C241)</f>
        <v>95068184</v>
      </c>
      <c r="D233" s="34">
        <f t="shared" si="76"/>
        <v>273477004</v>
      </c>
      <c r="E233" s="34">
        <f t="shared" si="76"/>
        <v>0</v>
      </c>
      <c r="F233" s="34">
        <f t="shared" si="76"/>
        <v>4575665100</v>
      </c>
      <c r="G233" s="34">
        <f t="shared" si="76"/>
        <v>1200000</v>
      </c>
      <c r="H233" s="34">
        <f t="shared" si="76"/>
        <v>4945410288</v>
      </c>
    </row>
    <row r="234" spans="1:9" ht="75">
      <c r="A234" s="42" t="s">
        <v>562</v>
      </c>
      <c r="B234" s="18" t="s">
        <v>670</v>
      </c>
      <c r="C234" s="19"/>
      <c r="D234" s="33"/>
      <c r="E234" s="33"/>
      <c r="F234" s="33">
        <v>500000</v>
      </c>
      <c r="G234" s="19">
        <v>1200000</v>
      </c>
      <c r="H234" s="19">
        <f>C234+D234+E234+F234+G234</f>
        <v>1700000</v>
      </c>
      <c r="I234" s="1" t="s">
        <v>548</v>
      </c>
    </row>
    <row r="235" spans="1:8" ht="93.75">
      <c r="A235" s="16" t="s">
        <v>292</v>
      </c>
      <c r="B235" s="18" t="s">
        <v>671</v>
      </c>
      <c r="C235" s="19">
        <v>7783200</v>
      </c>
      <c r="D235" s="33">
        <v>718704</v>
      </c>
      <c r="E235" s="33"/>
      <c r="F235" s="33"/>
      <c r="G235" s="19"/>
      <c r="H235" s="19">
        <f aca="true" t="shared" si="77" ref="H235:H241">C235+D235+E235+F235+G235</f>
        <v>8501904</v>
      </c>
    </row>
    <row r="236" spans="1:8" ht="75">
      <c r="A236" s="16" t="s">
        <v>293</v>
      </c>
      <c r="B236" s="18" t="s">
        <v>672</v>
      </c>
      <c r="C236" s="19">
        <v>3093584</v>
      </c>
      <c r="D236" s="33">
        <v>1390600</v>
      </c>
      <c r="E236" s="33"/>
      <c r="F236" s="33"/>
      <c r="G236" s="19"/>
      <c r="H236" s="19">
        <f t="shared" si="77"/>
        <v>4484184</v>
      </c>
    </row>
    <row r="237" spans="1:8" ht="150">
      <c r="A237" s="42" t="s">
        <v>516</v>
      </c>
      <c r="B237" s="18" t="s">
        <v>673</v>
      </c>
      <c r="C237" s="33"/>
      <c r="D237" s="33">
        <v>206742500</v>
      </c>
      <c r="E237" s="33"/>
      <c r="F237" s="33"/>
      <c r="G237" s="33"/>
      <c r="H237" s="19">
        <f t="shared" si="77"/>
        <v>206742500</v>
      </c>
    </row>
    <row r="238" spans="1:8" ht="75">
      <c r="A238" s="42" t="s">
        <v>376</v>
      </c>
      <c r="B238" s="18" t="s">
        <v>674</v>
      </c>
      <c r="C238" s="32">
        <f>84191400</f>
        <v>84191400</v>
      </c>
      <c r="D238" s="33"/>
      <c r="E238" s="33"/>
      <c r="F238" s="33">
        <v>25402900</v>
      </c>
      <c r="G238" s="32"/>
      <c r="H238" s="19">
        <f t="shared" si="77"/>
        <v>109594300</v>
      </c>
    </row>
    <row r="239" spans="1:8" ht="93.75">
      <c r="A239" s="42" t="s">
        <v>615</v>
      </c>
      <c r="B239" s="18" t="s">
        <v>675</v>
      </c>
      <c r="C239" s="32"/>
      <c r="D239" s="32"/>
      <c r="E239" s="32"/>
      <c r="F239" s="32">
        <v>4470345500</v>
      </c>
      <c r="G239" s="32"/>
      <c r="H239" s="19">
        <f t="shared" si="77"/>
        <v>4470345500</v>
      </c>
    </row>
    <row r="240" spans="1:8" ht="75">
      <c r="A240" s="42" t="s">
        <v>434</v>
      </c>
      <c r="B240" s="18" t="s">
        <v>676</v>
      </c>
      <c r="C240" s="33"/>
      <c r="D240" s="33">
        <v>17155200</v>
      </c>
      <c r="E240" s="33"/>
      <c r="F240" s="33"/>
      <c r="G240" s="33"/>
      <c r="H240" s="19">
        <f t="shared" si="77"/>
        <v>17155200</v>
      </c>
    </row>
    <row r="241" spans="1:8" ht="75">
      <c r="A241" s="137" t="s">
        <v>494</v>
      </c>
      <c r="B241" s="18" t="s">
        <v>677</v>
      </c>
      <c r="C241" s="33"/>
      <c r="D241" s="33">
        <v>47470000</v>
      </c>
      <c r="E241" s="33"/>
      <c r="F241" s="33">
        <v>79416700</v>
      </c>
      <c r="G241" s="33"/>
      <c r="H241" s="19">
        <f t="shared" si="77"/>
        <v>126886700</v>
      </c>
    </row>
    <row r="242" spans="1:8" ht="44.25" customHeight="1">
      <c r="A242" s="76" t="s">
        <v>678</v>
      </c>
      <c r="B242" s="30" t="s">
        <v>439</v>
      </c>
      <c r="C242" s="70">
        <f aca="true" t="shared" si="78" ref="C242:H242">C243</f>
        <v>0</v>
      </c>
      <c r="D242" s="70">
        <f t="shared" si="78"/>
        <v>0</v>
      </c>
      <c r="E242" s="70">
        <f t="shared" si="78"/>
        <v>0</v>
      </c>
      <c r="F242" s="70">
        <f t="shared" si="78"/>
        <v>0</v>
      </c>
      <c r="G242" s="70">
        <f t="shared" si="78"/>
        <v>0</v>
      </c>
      <c r="H242" s="70">
        <f t="shared" si="78"/>
        <v>0</v>
      </c>
    </row>
    <row r="243" spans="1:8" ht="171.75" customHeight="1">
      <c r="A243" s="16" t="s">
        <v>440</v>
      </c>
      <c r="B243" s="18" t="s">
        <v>441</v>
      </c>
      <c r="C243" s="32"/>
      <c r="D243" s="33"/>
      <c r="E243" s="33"/>
      <c r="F243" s="33"/>
      <c r="G243" s="32"/>
      <c r="H243" s="32"/>
    </row>
    <row r="244" spans="1:8" ht="37.5">
      <c r="A244" s="71" t="s">
        <v>679</v>
      </c>
      <c r="B244" s="30" t="s">
        <v>443</v>
      </c>
      <c r="C244" s="70">
        <f aca="true" t="shared" si="79" ref="C244:H244">C245</f>
        <v>0</v>
      </c>
      <c r="D244" s="70">
        <f t="shared" si="79"/>
        <v>0</v>
      </c>
      <c r="E244" s="70">
        <f t="shared" si="79"/>
        <v>0</v>
      </c>
      <c r="F244" s="70">
        <f t="shared" si="79"/>
        <v>0</v>
      </c>
      <c r="G244" s="70">
        <f t="shared" si="79"/>
        <v>0</v>
      </c>
      <c r="H244" s="70">
        <f t="shared" si="79"/>
        <v>0</v>
      </c>
    </row>
    <row r="245" spans="1:8" ht="45.75" customHeight="1">
      <c r="A245" s="17"/>
      <c r="B245" s="18" t="s">
        <v>444</v>
      </c>
      <c r="C245" s="32"/>
      <c r="D245" s="33"/>
      <c r="E245" s="33"/>
      <c r="F245" s="33"/>
      <c r="G245" s="32"/>
      <c r="H245" s="32"/>
    </row>
    <row r="246" spans="1:9" ht="159.75" customHeight="1">
      <c r="A246" s="76" t="s">
        <v>445</v>
      </c>
      <c r="B246" s="136" t="s">
        <v>446</v>
      </c>
      <c r="C246" s="70">
        <v>0</v>
      </c>
      <c r="D246" s="70">
        <v>25433211.45</v>
      </c>
      <c r="E246" s="70">
        <v>0</v>
      </c>
      <c r="F246" s="70">
        <v>0</v>
      </c>
      <c r="G246" s="70">
        <v>9939540.38</v>
      </c>
      <c r="H246" s="70">
        <f>D246+G246</f>
        <v>35372751.83</v>
      </c>
      <c r="I246" s="129">
        <f>C246-25433211.45</f>
        <v>-25433211.45</v>
      </c>
    </row>
    <row r="247" spans="1:8" ht="84.75" customHeight="1">
      <c r="A247" s="76" t="s">
        <v>447</v>
      </c>
      <c r="B247" s="136" t="s">
        <v>448</v>
      </c>
      <c r="C247" s="70">
        <v>0</v>
      </c>
      <c r="D247" s="70">
        <v>-4143536.16</v>
      </c>
      <c r="E247" s="70">
        <v>0</v>
      </c>
      <c r="F247" s="70">
        <v>0</v>
      </c>
      <c r="G247" s="70">
        <v>-34499180.96</v>
      </c>
      <c r="H247" s="70">
        <f>D247+G247</f>
        <v>-38642717.120000005</v>
      </c>
    </row>
    <row r="248" spans="1:8" ht="27.75" customHeight="1">
      <c r="A248" s="146" t="s">
        <v>684</v>
      </c>
      <c r="B248" s="146"/>
      <c r="C248" s="35">
        <f aca="true" t="shared" si="80" ref="C248:H248">C5+C169</f>
        <v>55416237784</v>
      </c>
      <c r="D248" s="35">
        <f t="shared" si="80"/>
        <v>1617441767.29</v>
      </c>
      <c r="E248" s="35">
        <f t="shared" si="80"/>
        <v>677475119</v>
      </c>
      <c r="F248" s="35">
        <f t="shared" si="80"/>
        <v>322825966.78999996</v>
      </c>
      <c r="G248" s="35">
        <f t="shared" si="80"/>
        <v>-506867575.92</v>
      </c>
      <c r="H248" s="35">
        <f t="shared" si="80"/>
        <v>57527106561.16</v>
      </c>
    </row>
    <row r="249" spans="2:8" ht="18.75" hidden="1">
      <c r="B249" s="36"/>
      <c r="C249" s="37"/>
      <c r="D249" s="37"/>
      <c r="E249" s="37"/>
      <c r="F249" s="37"/>
      <c r="G249" s="37"/>
      <c r="H249" s="37"/>
    </row>
    <row r="250" spans="2:8" ht="18.75" hidden="1">
      <c r="B250" s="1" t="s">
        <v>331</v>
      </c>
      <c r="C250" s="38">
        <f>C248-C176-C211-C233</f>
        <v>38174637300</v>
      </c>
      <c r="D250" s="38">
        <f>D248-D176-D211-D233</f>
        <v>843283675.29</v>
      </c>
      <c r="G250" s="38">
        <f>G248-G176-G211-G233</f>
        <v>310716359.42</v>
      </c>
      <c r="H250" s="38">
        <f>H248-H176-H211-H233</f>
        <v>40961015582.71001</v>
      </c>
    </row>
    <row r="251" spans="2:8" ht="18.75" hidden="1">
      <c r="B251" s="51" t="s">
        <v>325</v>
      </c>
      <c r="C251" s="38">
        <f>ROUND(C250/12,2)</f>
        <v>3181219775</v>
      </c>
      <c r="D251" s="38">
        <f>G251-C251</f>
        <v>-3155326745.05</v>
      </c>
      <c r="G251" s="38">
        <f>ROUND(G250/12,2)</f>
        <v>25893029.95</v>
      </c>
      <c r="H251" s="38">
        <f>ROUND(H250/12,2)</f>
        <v>3413417965.23</v>
      </c>
    </row>
    <row r="252" ht="18.75" hidden="1"/>
    <row r="253" ht="18.75" hidden="1"/>
    <row r="254" ht="18.75" hidden="1"/>
    <row r="255" ht="18.75" hidden="1">
      <c r="G255" s="38">
        <f>G246+G247</f>
        <v>-24559640.58</v>
      </c>
    </row>
    <row r="256" ht="18.75" hidden="1"/>
    <row r="257" ht="18.75" hidden="1"/>
    <row r="258" ht="18.75">
      <c r="G258" s="138"/>
    </row>
  </sheetData>
  <sheetProtection/>
  <autoFilter ref="A4:Q248"/>
  <mergeCells count="10">
    <mergeCell ref="A248:B248"/>
    <mergeCell ref="E3:E4"/>
    <mergeCell ref="F3:F4"/>
    <mergeCell ref="A1:H1"/>
    <mergeCell ref="A3:A4"/>
    <mergeCell ref="B3:B4"/>
    <mergeCell ref="C3:C4"/>
    <mergeCell ref="D3:D4"/>
    <mergeCell ref="G3:G4"/>
    <mergeCell ref="H3:H4"/>
  </mergeCells>
  <printOptions/>
  <pageMargins left="0.3937007874015748" right="0.3937007874015748" top="0.4724409448818898" bottom="0.35433070866141736" header="0.15748031496062992" footer="0.15748031496062992"/>
  <pageSetup fitToHeight="0" horizontalDpi="600" verticalDpi="600" orientation="landscape" paperSize="9" scale="6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Варульникова С.</dc:creator>
  <cp:keywords/>
  <dc:description/>
  <cp:lastModifiedBy>Давыдова</cp:lastModifiedBy>
  <cp:lastPrinted>2019-05-29T11:54:42Z</cp:lastPrinted>
  <dcterms:created xsi:type="dcterms:W3CDTF">2016-10-19T07:48:46Z</dcterms:created>
  <dcterms:modified xsi:type="dcterms:W3CDTF">2019-05-29T12:23:04Z</dcterms:modified>
  <cp:category/>
  <cp:version/>
  <cp:contentType/>
  <cp:contentStatus/>
</cp:coreProperties>
</file>